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135" windowWidth="19080" windowHeight="8670" firstSheet="4" activeTab="4"/>
  </bookViews>
  <sheets>
    <sheet name="Previous vs current submission" sheetId="11" state="hidden" r:id="rId1"/>
    <sheet name="Overview 2011-2014" sheetId="24" state="hidden" r:id="rId2"/>
    <sheet name="Summary 2014 Budget" sheetId="37" state="hidden" r:id="rId3"/>
    <sheet name="Summary 2014 Budget by Agency" sheetId="38" r:id="rId4"/>
    <sheet name="Secretariat work plan 2014 " sheetId="3" r:id="rId5"/>
    <sheet name="Category of support by outc (2" sheetId="39" state="hidden" r:id="rId6"/>
    <sheet name="Category of support" sheetId="17" state="hidden" r:id="rId7"/>
    <sheet name="Overview" sheetId="18" state="hidden" r:id="rId8"/>
    <sheet name="Workplan" sheetId="9" state="hidden" r:id="rId9"/>
    <sheet name="Annex 1" sheetId="10" state="hidden" r:id="rId10"/>
    <sheet name="Consl worksheet (2)" sheetId="7" state="hidden" r:id="rId11"/>
    <sheet name="Sheet3" sheetId="13" state="hidden" r:id="rId12"/>
    <sheet name="Sheet1" sheetId="14" state="hidden" r:id="rId13"/>
    <sheet name="Sheet2" sheetId="25" state="hidden" r:id="rId14"/>
    <sheet name="Private Sector" sheetId="32" state="hidden" r:id="rId15"/>
    <sheet name="Sheet4" sheetId="35"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Output1" localSheetId="6">#REF!</definedName>
    <definedName name="Output1" localSheetId="5">#REF!</definedName>
    <definedName name="Output1" localSheetId="10">#REF!</definedName>
    <definedName name="Output1" localSheetId="7">#REF!</definedName>
    <definedName name="Output1" localSheetId="1">#REF!</definedName>
    <definedName name="Output1" localSheetId="0">#REF!</definedName>
    <definedName name="Output1" localSheetId="2">#REF!</definedName>
    <definedName name="Output1" localSheetId="3">#REF!</definedName>
    <definedName name="Output1">#REF!</definedName>
    <definedName name="Output1_2" localSheetId="6">#REF!</definedName>
    <definedName name="Output1_2" localSheetId="5">#REF!</definedName>
    <definedName name="Output1_2" localSheetId="10">#REF!</definedName>
    <definedName name="Output1_2" localSheetId="7">#REF!</definedName>
    <definedName name="Output1_2" localSheetId="1">#REF!</definedName>
    <definedName name="Output1_2" localSheetId="0">#REF!</definedName>
    <definedName name="Output1_2" localSheetId="2">#REF!</definedName>
    <definedName name="Output1_2" localSheetId="3">#REF!</definedName>
    <definedName name="Output1_2">#REF!</definedName>
    <definedName name="Output2" localSheetId="6">#REF!</definedName>
    <definedName name="Output2" localSheetId="5">#REF!</definedName>
    <definedName name="Output2" localSheetId="10">#REF!</definedName>
    <definedName name="Output2" localSheetId="7">#REF!</definedName>
    <definedName name="Output2" localSheetId="1">#REF!</definedName>
    <definedName name="Output2" localSheetId="0">#REF!</definedName>
    <definedName name="Output2" localSheetId="2">#REF!</definedName>
    <definedName name="Output2" localSheetId="3">#REF!</definedName>
    <definedName name="Output2">#REF!</definedName>
    <definedName name="Output2_2" localSheetId="6">#REF!</definedName>
    <definedName name="Output2_2" localSheetId="5">#REF!</definedName>
    <definedName name="Output2_2" localSheetId="10">#REF!</definedName>
    <definedName name="Output2_2" localSheetId="7">#REF!</definedName>
    <definedName name="Output2_2" localSheetId="1">#REF!</definedName>
    <definedName name="Output2_2" localSheetId="0">#REF!</definedName>
    <definedName name="Output2_2" localSheetId="2">#REF!</definedName>
    <definedName name="Output2_2" localSheetId="3">#REF!</definedName>
    <definedName name="Output2_2">#REF!</definedName>
    <definedName name="Output3" localSheetId="6">#REF!</definedName>
    <definedName name="Output3" localSheetId="5">#REF!</definedName>
    <definedName name="Output3" localSheetId="10">#REF!</definedName>
    <definedName name="Output3" localSheetId="7">#REF!</definedName>
    <definedName name="Output3" localSheetId="1">#REF!</definedName>
    <definedName name="Output3" localSheetId="0">#REF!</definedName>
    <definedName name="Output3" localSheetId="2">#REF!</definedName>
    <definedName name="Output3" localSheetId="3">#REF!</definedName>
    <definedName name="Output3">#REF!</definedName>
    <definedName name="Output3_2" localSheetId="6">#REF!</definedName>
    <definedName name="Output3_2" localSheetId="5">#REF!</definedName>
    <definedName name="Output3_2" localSheetId="10">#REF!</definedName>
    <definedName name="Output3_2" localSheetId="7">#REF!</definedName>
    <definedName name="Output3_2" localSheetId="1">#REF!</definedName>
    <definedName name="Output3_2" localSheetId="0">#REF!</definedName>
    <definedName name="Output3_2" localSheetId="2">#REF!</definedName>
    <definedName name="Output3_2" localSheetId="3">#REF!</definedName>
    <definedName name="Output3_2">#REF!</definedName>
    <definedName name="Output4" localSheetId="6">#REF!</definedName>
    <definedName name="Output4" localSheetId="5">#REF!</definedName>
    <definedName name="Output4" localSheetId="10">#REF!</definedName>
    <definedName name="Output4" localSheetId="7">#REF!</definedName>
    <definedName name="Output4" localSheetId="1">#REF!</definedName>
    <definedName name="Output4" localSheetId="0">#REF!</definedName>
    <definedName name="Output4" localSheetId="2">#REF!</definedName>
    <definedName name="Output4" localSheetId="3">#REF!</definedName>
    <definedName name="Output4">#REF!</definedName>
    <definedName name="Output4_2" localSheetId="6">#REF!</definedName>
    <definedName name="Output4_2" localSheetId="5">#REF!</definedName>
    <definedName name="Output4_2" localSheetId="10">#REF!</definedName>
    <definedName name="Output4_2" localSheetId="7">#REF!</definedName>
    <definedName name="Output4_2" localSheetId="1">#REF!</definedName>
    <definedName name="Output4_2" localSheetId="0">#REF!</definedName>
    <definedName name="Output4_2" localSheetId="2">#REF!</definedName>
    <definedName name="Output4_2" localSheetId="3">#REF!</definedName>
    <definedName name="Output4_2">#REF!</definedName>
    <definedName name="Output5" localSheetId="6">#REF!</definedName>
    <definedName name="Output5" localSheetId="5">#REF!</definedName>
    <definedName name="Output5" localSheetId="10">#REF!</definedName>
    <definedName name="Output5" localSheetId="7">#REF!</definedName>
    <definedName name="Output5" localSheetId="1">#REF!</definedName>
    <definedName name="Output5" localSheetId="0">#REF!</definedName>
    <definedName name="Output5" localSheetId="2">#REF!</definedName>
    <definedName name="Output5" localSheetId="3">#REF!</definedName>
    <definedName name="Output5">#REF!</definedName>
    <definedName name="Output5_2" localSheetId="6">#REF!</definedName>
    <definedName name="Output5_2" localSheetId="5">#REF!</definedName>
    <definedName name="Output5_2" localSheetId="10">#REF!</definedName>
    <definedName name="Output5_2" localSheetId="7">#REF!</definedName>
    <definedName name="Output5_2" localSheetId="1">#REF!</definedName>
    <definedName name="Output5_2" localSheetId="0">#REF!</definedName>
    <definedName name="Output5_2" localSheetId="2">#REF!</definedName>
    <definedName name="Output5_2" localSheetId="3">#REF!</definedName>
    <definedName name="Output5_2">#REF!</definedName>
    <definedName name="Output6" localSheetId="6">#REF!</definedName>
    <definedName name="Output6" localSheetId="5">#REF!</definedName>
    <definedName name="Output6" localSheetId="10">#REF!</definedName>
    <definedName name="Output6" localSheetId="7">#REF!</definedName>
    <definedName name="Output6" localSheetId="1">#REF!</definedName>
    <definedName name="Output6" localSheetId="0">#REF!</definedName>
    <definedName name="Output6" localSheetId="2">#REF!</definedName>
    <definedName name="Output6" localSheetId="3">#REF!</definedName>
    <definedName name="Output6">#REF!</definedName>
    <definedName name="Output6_2" localSheetId="6">#REF!</definedName>
    <definedName name="Output6_2" localSheetId="5">#REF!</definedName>
    <definedName name="Output6_2" localSheetId="10">#REF!</definedName>
    <definedName name="Output6_2" localSheetId="7">#REF!</definedName>
    <definedName name="Output6_2" localSheetId="1">#REF!</definedName>
    <definedName name="Output6_2" localSheetId="0">#REF!</definedName>
    <definedName name="Output6_2" localSheetId="2">#REF!</definedName>
    <definedName name="Output6_2" localSheetId="3">#REF!</definedName>
    <definedName name="Output6_2">#REF!</definedName>
    <definedName name="Output7" localSheetId="6">#REF!</definedName>
    <definedName name="Output7" localSheetId="5">#REF!</definedName>
    <definedName name="Output7" localSheetId="10">#REF!</definedName>
    <definedName name="Output7" localSheetId="7">#REF!</definedName>
    <definedName name="Output7" localSheetId="1">#REF!</definedName>
    <definedName name="Output7" localSheetId="0">#REF!</definedName>
    <definedName name="Output7" localSheetId="2">#REF!</definedName>
    <definedName name="Output7" localSheetId="3">#REF!</definedName>
    <definedName name="Output7">#REF!</definedName>
    <definedName name="Output7_2" localSheetId="6">#REF!</definedName>
    <definedName name="Output7_2" localSheetId="5">#REF!</definedName>
    <definedName name="Output7_2" localSheetId="10">#REF!</definedName>
    <definedName name="Output7_2" localSheetId="7">#REF!</definedName>
    <definedName name="Output7_2" localSheetId="1">#REF!</definedName>
    <definedName name="Output7_2" localSheetId="0">#REF!</definedName>
    <definedName name="Output7_2" localSheetId="2">#REF!</definedName>
    <definedName name="Output7_2" localSheetId="3">#REF!</definedName>
    <definedName name="Output7_2">#REF!</definedName>
    <definedName name="Pcost" localSheetId="6">#REF!</definedName>
    <definedName name="Pcost" localSheetId="5">#REF!</definedName>
    <definedName name="Pcost" localSheetId="10">#REF!</definedName>
    <definedName name="Pcost" localSheetId="7">#REF!</definedName>
    <definedName name="Pcost" localSheetId="1">#REF!</definedName>
    <definedName name="Pcost" localSheetId="0">#REF!</definedName>
    <definedName name="Pcost" localSheetId="2">#REF!</definedName>
    <definedName name="Pcost" localSheetId="3">#REF!</definedName>
    <definedName name="Pcost">#REF!</definedName>
    <definedName name="_xlnm.Print_Area" localSheetId="6">'Category of support'!$A$3:$M$17</definedName>
    <definedName name="_xlnm.Print_Area" localSheetId="5">'Category of support by outc (2'!$A$3:$I$3</definedName>
    <definedName name="_xlnm.Print_Area" localSheetId="7">Overview!$A$3:$T$48</definedName>
    <definedName name="_xlnm.Print_Area" localSheetId="1">'Overview 2011-2014'!$A$3:$F$20</definedName>
    <definedName name="_xlnm.Print_Area" localSheetId="0">'Previous vs current submission'!$A$3:$Z$51</definedName>
    <definedName name="_xlnm.Print_Area" localSheetId="4">'Secretariat work plan 2014 '!$A$1:$G$150</definedName>
    <definedName name="_xlnm.Print_Area" localSheetId="2">'Summary 2014 Budget'!$A$3:$J$19</definedName>
    <definedName name="_xlnm.Print_Area" localSheetId="3">'Summary 2014 Budget by Agency'!$A$3:$E$17</definedName>
    <definedName name="_xlnm.Print_Titles" localSheetId="6">'Category of support'!$6:$8</definedName>
    <definedName name="_xlnm.Print_Titles" localSheetId="5">'Category of support by outc (2'!#REF!</definedName>
    <definedName name="_xlnm.Print_Titles" localSheetId="10">'Consl worksheet (2)'!$6:$6</definedName>
    <definedName name="_xlnm.Print_Titles" localSheetId="1">'Overview 2011-2014'!$5:$6</definedName>
    <definedName name="_xlnm.Print_Titles" localSheetId="0">'Previous vs current submission'!$4:$6</definedName>
    <definedName name="_xlnm.Print_Titles" localSheetId="2">'Summary 2014 Budget'!$5:$5</definedName>
    <definedName name="_xlnm.Print_Titles" localSheetId="3">'Summary 2014 Budget by Agency'!$5:$5</definedName>
    <definedName name="SupportCostFactor" localSheetId="6">#REF!</definedName>
    <definedName name="SupportCostFactor" localSheetId="5">#REF!</definedName>
    <definedName name="SupportCostFactor" localSheetId="10">#REF!</definedName>
    <definedName name="SupportCostFactor" localSheetId="7">#REF!</definedName>
    <definedName name="SupportCostFactor" localSheetId="1">#REF!</definedName>
    <definedName name="SupportCostFactor" localSheetId="0">#REF!</definedName>
    <definedName name="SupportCostFactor" localSheetId="4">#REF!</definedName>
    <definedName name="SupportCostFactor" localSheetId="2">#REF!</definedName>
    <definedName name="SupportCostFactor" localSheetId="3">#REF!</definedName>
    <definedName name="SupportCostFactor">#REF!</definedName>
    <definedName name="total2009">'[1]GP1 data'!$F$10</definedName>
    <definedName name="Year1" localSheetId="6">#REF!</definedName>
    <definedName name="Year1" localSheetId="5">#REF!</definedName>
    <definedName name="Year1" localSheetId="10">#REF!</definedName>
    <definedName name="Year1" localSheetId="7">#REF!</definedName>
    <definedName name="Year1" localSheetId="1">#REF!</definedName>
    <definedName name="Year1" localSheetId="0">#REF!</definedName>
    <definedName name="Year1" localSheetId="4">#REF!</definedName>
    <definedName name="Year1" localSheetId="2">#REF!</definedName>
    <definedName name="Year1" localSheetId="3">#REF!</definedName>
    <definedName name="Year1">#REF!</definedName>
    <definedName name="Year1Rate" localSheetId="6">#REF!</definedName>
    <definedName name="Year1Rate" localSheetId="5">#REF!</definedName>
    <definedName name="Year1Rate" localSheetId="10">#REF!</definedName>
    <definedName name="Year1Rate" localSheetId="7">#REF!</definedName>
    <definedName name="Year1Rate" localSheetId="1">#REF!</definedName>
    <definedName name="Year1Rate" localSheetId="0">#REF!</definedName>
    <definedName name="Year1Rate" localSheetId="4">#REF!</definedName>
    <definedName name="Year1Rate" localSheetId="2">#REF!</definedName>
    <definedName name="Year1Rate" localSheetId="3">#REF!</definedName>
    <definedName name="Year1Rate">#REF!</definedName>
    <definedName name="Year2Rate" localSheetId="6">#REF!</definedName>
    <definedName name="Year2Rate" localSheetId="5">#REF!</definedName>
    <definedName name="Year2Rate" localSheetId="10">#REF!</definedName>
    <definedName name="Year2Rate" localSheetId="7">#REF!</definedName>
    <definedName name="Year2Rate" localSheetId="1">#REF!</definedName>
    <definedName name="Year2Rate" localSheetId="0">#REF!</definedName>
    <definedName name="Year2Rate" localSheetId="4">#REF!</definedName>
    <definedName name="Year2Rate" localSheetId="2">#REF!</definedName>
    <definedName name="Year2Rate" localSheetId="3">#REF!</definedName>
    <definedName name="Year2Rate">#REF!</definedName>
  </definedNames>
  <calcPr calcId="145621"/>
</workbook>
</file>

<file path=xl/calcChain.xml><?xml version="1.0" encoding="utf-8"?>
<calcChain xmlns="http://schemas.openxmlformats.org/spreadsheetml/2006/main">
  <c r="B181" i="3" l="1"/>
  <c r="C181" i="3"/>
  <c r="D181" i="3"/>
  <c r="B182" i="3"/>
  <c r="C182" i="3"/>
  <c r="D182" i="3"/>
  <c r="B183" i="3"/>
  <c r="C183" i="3"/>
  <c r="D183" i="3"/>
  <c r="B184" i="3"/>
  <c r="C184" i="3"/>
  <c r="D184" i="3"/>
  <c r="B185" i="3"/>
  <c r="C185" i="3"/>
  <c r="D185" i="3"/>
  <c r="B186" i="3"/>
  <c r="C186" i="3"/>
  <c r="D186" i="3"/>
  <c r="B187" i="3"/>
  <c r="C187" i="3"/>
  <c r="D187" i="3"/>
  <c r="E185" i="3" l="1"/>
  <c r="E181" i="3"/>
  <c r="D188" i="3"/>
  <c r="C188" i="3"/>
  <c r="C189" i="3" s="1"/>
  <c r="C190" i="3" s="1"/>
  <c r="E186" i="3"/>
  <c r="E183" i="3"/>
  <c r="E182" i="3"/>
  <c r="E187" i="3"/>
  <c r="B188" i="3"/>
  <c r="E184" i="3"/>
  <c r="B25" i="38"/>
  <c r="E188" i="3" l="1"/>
  <c r="E189" i="3" s="1"/>
  <c r="E190" i="3" s="1"/>
  <c r="D189" i="3"/>
  <c r="D190" i="3" s="1"/>
  <c r="B189" i="3"/>
  <c r="B190" i="3" s="1"/>
  <c r="C16" i="37" l="1"/>
  <c r="H15" i="39" l="1"/>
  <c r="H28" i="39" s="1"/>
  <c r="G15" i="39"/>
  <c r="G28" i="39" s="1"/>
  <c r="F15" i="39"/>
  <c r="E28" i="39"/>
  <c r="H14" i="39"/>
  <c r="H16" i="39" s="1"/>
  <c r="G14" i="39"/>
  <c r="F14" i="39"/>
  <c r="D27" i="39"/>
  <c r="C27" i="39"/>
  <c r="B27" i="39"/>
  <c r="G13" i="39"/>
  <c r="F13" i="39"/>
  <c r="C26" i="39"/>
  <c r="B26" i="39"/>
  <c r="G12" i="39"/>
  <c r="F12" i="39"/>
  <c r="C25" i="39"/>
  <c r="G25" i="39" s="1"/>
  <c r="B25" i="39"/>
  <c r="F25" i="39" s="1"/>
  <c r="G11" i="39"/>
  <c r="F11" i="39"/>
  <c r="C24" i="39"/>
  <c r="G24" i="39" s="1"/>
  <c r="B24" i="39"/>
  <c r="F24" i="39" s="1"/>
  <c r="G10" i="39"/>
  <c r="F10" i="39"/>
  <c r="C23" i="39"/>
  <c r="B23" i="39"/>
  <c r="F23" i="39" s="1"/>
  <c r="G9" i="39"/>
  <c r="F9" i="39"/>
  <c r="C22" i="39"/>
  <c r="B22" i="39"/>
  <c r="B16" i="39" s="1"/>
  <c r="D12" i="38"/>
  <c r="D11" i="38"/>
  <c r="C11" i="38"/>
  <c r="D10" i="38"/>
  <c r="C10" i="38"/>
  <c r="D9" i="38"/>
  <c r="C9" i="38"/>
  <c r="D7" i="38"/>
  <c r="C7" i="38"/>
  <c r="E8" i="38"/>
  <c r="C16" i="39" l="1"/>
  <c r="G23" i="39"/>
  <c r="G16" i="39"/>
  <c r="G27" i="39"/>
  <c r="I14" i="39"/>
  <c r="I15" i="39"/>
  <c r="I9" i="39"/>
  <c r="I10" i="39"/>
  <c r="I11" i="39"/>
  <c r="H27" i="39"/>
  <c r="L16" i="39" s="1"/>
  <c r="I12" i="39"/>
  <c r="E26" i="39"/>
  <c r="I13" i="39"/>
  <c r="F27" i="39"/>
  <c r="I27" i="39" s="1"/>
  <c r="G26" i="39"/>
  <c r="I23" i="39"/>
  <c r="I24" i="39"/>
  <c r="I25" i="39"/>
  <c r="E22" i="39"/>
  <c r="F22" i="39"/>
  <c r="E24" i="39"/>
  <c r="F26" i="39"/>
  <c r="E27" i="39"/>
  <c r="F28" i="39"/>
  <c r="I28" i="39" s="1"/>
  <c r="D16" i="39"/>
  <c r="F16" i="39"/>
  <c r="G22" i="39"/>
  <c r="E23" i="39"/>
  <c r="E25" i="39"/>
  <c r="E11" i="38"/>
  <c r="E9" i="38"/>
  <c r="F14" i="37"/>
  <c r="F15" i="37"/>
  <c r="F16" i="37" l="1"/>
  <c r="K16" i="39"/>
  <c r="I16" i="39"/>
  <c r="I26" i="39"/>
  <c r="E16" i="39"/>
  <c r="J16" i="39"/>
  <c r="I22" i="39"/>
  <c r="E25" i="3"/>
  <c r="E23" i="3"/>
  <c r="E22" i="3"/>
  <c r="E20" i="3"/>
  <c r="E45" i="3"/>
  <c r="E44" i="3"/>
  <c r="E38" i="3"/>
  <c r="E37" i="3"/>
  <c r="E36" i="3"/>
  <c r="M16" i="39" l="1"/>
  <c r="E39" i="3"/>
  <c r="E40" i="3" s="1"/>
  <c r="E42" i="3" l="1"/>
  <c r="C8" i="37" l="1"/>
  <c r="C9" i="37"/>
  <c r="B15" i="37"/>
  <c r="G14" i="37"/>
  <c r="B14" i="37"/>
  <c r="F11" i="37"/>
  <c r="B11" i="37"/>
  <c r="D11" i="37" s="1"/>
  <c r="F10" i="37"/>
  <c r="B10" i="37"/>
  <c r="D10" i="37" s="1"/>
  <c r="G9" i="37"/>
  <c r="F9" i="37"/>
  <c r="B9" i="37"/>
  <c r="H8" i="37"/>
  <c r="F7" i="37"/>
  <c r="B7" i="37"/>
  <c r="D7" i="37" s="1"/>
  <c r="F6" i="37"/>
  <c r="B6" i="37"/>
  <c r="D15" i="37" l="1"/>
  <c r="B16" i="37"/>
  <c r="D16" i="37" s="1"/>
  <c r="B12" i="37"/>
  <c r="D12" i="37" s="1"/>
  <c r="C12" i="37"/>
  <c r="C18" i="37" s="1"/>
  <c r="E12" i="37"/>
  <c r="D9" i="37"/>
  <c r="E9" i="37"/>
  <c r="I9" i="37"/>
  <c r="B18" i="37"/>
  <c r="D18" i="37" s="1"/>
  <c r="I14" i="37"/>
  <c r="F12" i="37"/>
  <c r="H9" i="37"/>
  <c r="J9" i="37" s="1"/>
  <c r="H14" i="37"/>
  <c r="D6" i="37"/>
  <c r="D8" i="37"/>
  <c r="J8" i="37" s="1"/>
  <c r="D14" i="37"/>
  <c r="J14" i="37" l="1"/>
  <c r="F18" i="37"/>
  <c r="E18" i="37"/>
  <c r="E141" i="3" l="1"/>
  <c r="E140" i="3"/>
  <c r="E139" i="3"/>
  <c r="E138" i="3"/>
  <c r="E142" i="3" l="1"/>
  <c r="E143" i="3" s="1"/>
  <c r="E144" i="3" s="1"/>
  <c r="B7" i="38" l="1"/>
  <c r="E7" i="38" s="1"/>
  <c r="B10" i="38"/>
  <c r="E10" i="38" s="1"/>
  <c r="B12" i="38"/>
  <c r="E21" i="3" l="1"/>
  <c r="E117" i="3"/>
  <c r="E114" i="3"/>
  <c r="E113" i="3"/>
  <c r="E53" i="3"/>
  <c r="E51" i="3"/>
  <c r="E24" i="3"/>
  <c r="E19" i="3" l="1"/>
  <c r="E29" i="3" s="1"/>
  <c r="E30" i="3" s="1"/>
  <c r="E8" i="3"/>
  <c r="E50" i="3" l="1"/>
  <c r="E128" i="3"/>
  <c r="E129" i="3"/>
  <c r="E116" i="3"/>
  <c r="E115" i="3"/>
  <c r="E101" i="3"/>
  <c r="E99" i="3"/>
  <c r="E52" i="3"/>
  <c r="E7" i="3"/>
  <c r="E6" i="3"/>
  <c r="E5" i="3"/>
  <c r="E100" i="3" l="1"/>
  <c r="E106" i="3" s="1"/>
  <c r="E131" i="3"/>
  <c r="R77" i="32"/>
  <c r="B13" i="38" l="1"/>
  <c r="C12" i="38"/>
  <c r="F182" i="3"/>
  <c r="F181" i="3"/>
  <c r="F184" i="3"/>
  <c r="F186" i="3"/>
  <c r="F185" i="3"/>
  <c r="F187" i="3"/>
  <c r="F183" i="3"/>
  <c r="C13" i="38"/>
  <c r="M107" i="32"/>
  <c r="M106" i="32"/>
  <c r="M105" i="32"/>
  <c r="N109" i="32" s="1"/>
  <c r="Q99" i="32"/>
  <c r="O99" i="32"/>
  <c r="N99" i="32"/>
  <c r="M99" i="32"/>
  <c r="O77" i="32"/>
  <c r="N77" i="32"/>
  <c r="M77" i="32"/>
  <c r="Q67" i="32"/>
  <c r="Q66" i="32"/>
  <c r="Q62" i="32"/>
  <c r="Q60" i="32"/>
  <c r="Q59" i="32"/>
  <c r="Q58" i="32"/>
  <c r="Q57" i="32"/>
  <c r="Q56" i="32"/>
  <c r="Q53" i="32"/>
  <c r="Q52" i="32"/>
  <c r="Q50" i="32"/>
  <c r="Q46" i="32"/>
  <c r="O34" i="32"/>
  <c r="O100" i="32" s="1"/>
  <c r="N34" i="32"/>
  <c r="N100" i="32" s="1"/>
  <c r="M34" i="32"/>
  <c r="M100" i="32" s="1"/>
  <c r="Q31" i="32"/>
  <c r="Q34" i="32" s="1"/>
  <c r="D13" i="38" l="1"/>
  <c r="D14" i="38" s="1"/>
  <c r="C14" i="38"/>
  <c r="C15" i="38" s="1"/>
  <c r="C16" i="38" s="1"/>
  <c r="E12" i="38"/>
  <c r="F188" i="3"/>
  <c r="Q77" i="32"/>
  <c r="M108" i="32"/>
  <c r="N108" i="32" s="1"/>
  <c r="M102" i="32"/>
  <c r="M101" i="32"/>
  <c r="O102" i="32"/>
  <c r="O101" i="32"/>
  <c r="Q100" i="32"/>
  <c r="N101" i="32"/>
  <c r="N102" i="32" s="1"/>
  <c r="D15" i="38" l="1"/>
  <c r="D16" i="38" s="1"/>
  <c r="E13" i="38"/>
  <c r="F189" i="3"/>
  <c r="F190" i="3" s="1"/>
  <c r="Q101" i="32"/>
  <c r="Q102" i="32" s="1"/>
  <c r="M16" i="17" l="1"/>
  <c r="I16" i="17"/>
  <c r="E16" i="17"/>
  <c r="W8" i="11"/>
  <c r="W15" i="11"/>
  <c r="S15" i="11"/>
  <c r="U15" i="11" s="1"/>
  <c r="L47" i="18"/>
  <c r="J44" i="18"/>
  <c r="I44" i="18"/>
  <c r="H44" i="18"/>
  <c r="J37" i="18"/>
  <c r="I37" i="18"/>
  <c r="H37" i="18"/>
  <c r="Q21" i="18"/>
  <c r="J21" i="18"/>
  <c r="I21" i="18"/>
  <c r="H21" i="18"/>
  <c r="E21" i="18"/>
  <c r="D21" i="18"/>
  <c r="C21" i="18"/>
  <c r="P19" i="18"/>
  <c r="P22" i="18" s="1"/>
  <c r="O19" i="18"/>
  <c r="O22" i="18" s="1"/>
  <c r="N19" i="18"/>
  <c r="N22" i="18" s="1"/>
  <c r="J19" i="18"/>
  <c r="I19" i="18"/>
  <c r="H19" i="18"/>
  <c r="E19" i="18"/>
  <c r="D19" i="18"/>
  <c r="C19" i="18"/>
  <c r="P15" i="18"/>
  <c r="O15" i="18"/>
  <c r="J15" i="18"/>
  <c r="I15" i="18"/>
  <c r="E15" i="18"/>
  <c r="D15" i="18"/>
  <c r="P14" i="18"/>
  <c r="O14" i="18"/>
  <c r="N14" i="18"/>
  <c r="J14" i="18"/>
  <c r="I14" i="18"/>
  <c r="H14" i="18"/>
  <c r="E14" i="18"/>
  <c r="D14" i="18"/>
  <c r="C14" i="18"/>
  <c r="P13" i="18"/>
  <c r="O13" i="18"/>
  <c r="J13" i="18"/>
  <c r="I13" i="18"/>
  <c r="E13" i="18"/>
  <c r="D13" i="18"/>
  <c r="O12" i="18"/>
  <c r="N12" i="18"/>
  <c r="I12" i="18"/>
  <c r="H12" i="18"/>
  <c r="D12" i="18"/>
  <c r="C12" i="18"/>
  <c r="O11" i="18"/>
  <c r="N11" i="18"/>
  <c r="I11" i="18"/>
  <c r="H11" i="18"/>
  <c r="D11" i="18"/>
  <c r="C11" i="18"/>
  <c r="P10" i="18"/>
  <c r="O10" i="18"/>
  <c r="N10" i="18"/>
  <c r="J10" i="18"/>
  <c r="I10" i="18"/>
  <c r="H10" i="18"/>
  <c r="E10" i="18"/>
  <c r="D10" i="18"/>
  <c r="C10" i="18"/>
  <c r="O8" i="11"/>
  <c r="E43" i="11"/>
  <c r="E45" i="11"/>
  <c r="Y17" i="11"/>
  <c r="U17" i="11"/>
  <c r="I17" i="11"/>
  <c r="I10" i="11"/>
  <c r="E17" i="11"/>
  <c r="G49" i="11"/>
  <c r="K42" i="11"/>
  <c r="G33" i="11"/>
  <c r="K26" i="11"/>
  <c r="E27" i="11"/>
  <c r="E29" i="11"/>
  <c r="T9" i="11"/>
  <c r="U9" i="11" s="1"/>
  <c r="H12" i="11"/>
  <c r="I12" i="11" s="1"/>
  <c r="D9" i="11"/>
  <c r="O15" i="11"/>
  <c r="O18" i="11" s="1"/>
  <c r="K16" i="11"/>
  <c r="F32" i="11" s="1"/>
  <c r="H32" i="11" s="1"/>
  <c r="K15" i="11"/>
  <c r="M15" i="11" s="1"/>
  <c r="N15" i="11" s="1"/>
  <c r="S16" i="11"/>
  <c r="W18" i="11"/>
  <c r="W12" i="11"/>
  <c r="W11" i="11"/>
  <c r="Y11" i="11" s="1"/>
  <c r="Z11" i="11" s="1"/>
  <c r="W10" i="11"/>
  <c r="Y10" i="11" s="1"/>
  <c r="Z10" i="11" s="1"/>
  <c r="W7" i="11"/>
  <c r="Y7" i="11" s="1"/>
  <c r="S7" i="11"/>
  <c r="U7" i="11" s="1"/>
  <c r="S10" i="11"/>
  <c r="U10" i="11" s="1"/>
  <c r="V10" i="11" s="1"/>
  <c r="S11" i="11"/>
  <c r="U11" i="11" s="1"/>
  <c r="V11" i="11" s="1"/>
  <c r="S12" i="11"/>
  <c r="U12" i="11" s="1"/>
  <c r="V12" i="11" s="1"/>
  <c r="O12" i="11"/>
  <c r="G45" i="11" s="1"/>
  <c r="H45" i="11" s="1"/>
  <c r="O11" i="11"/>
  <c r="O10" i="11"/>
  <c r="G43" i="11" s="1"/>
  <c r="H43" i="11" s="1"/>
  <c r="O9" i="11"/>
  <c r="K12" i="11"/>
  <c r="K11" i="11"/>
  <c r="G28" i="11" s="1"/>
  <c r="H28" i="11" s="1"/>
  <c r="K10" i="11"/>
  <c r="K9" i="11"/>
  <c r="G26" i="11" s="1"/>
  <c r="H26" i="11" s="1"/>
  <c r="K8" i="11"/>
  <c r="K7" i="11"/>
  <c r="M7" i="11" s="1"/>
  <c r="M13" i="11" s="1"/>
  <c r="G15" i="11"/>
  <c r="G18" i="11" s="1"/>
  <c r="C16" i="11"/>
  <c r="C15" i="11"/>
  <c r="G11" i="11"/>
  <c r="D44" i="11" s="1"/>
  <c r="E44" i="11" s="1"/>
  <c r="G9" i="11"/>
  <c r="I9" i="11" s="1"/>
  <c r="J9" i="11" s="1"/>
  <c r="G8" i="11"/>
  <c r="G7" i="11"/>
  <c r="I7" i="11" s="1"/>
  <c r="I13" i="11" s="1"/>
  <c r="C11" i="11"/>
  <c r="E11" i="11" s="1"/>
  <c r="F11" i="11" s="1"/>
  <c r="C9" i="11"/>
  <c r="C8" i="11"/>
  <c r="C25" i="11" s="1"/>
  <c r="E25" i="11" s="1"/>
  <c r="C7" i="11"/>
  <c r="D12" i="11"/>
  <c r="E12" i="11" s="1"/>
  <c r="E15" i="10"/>
  <c r="E16" i="10"/>
  <c r="E17" i="10" s="1"/>
  <c r="D15" i="10"/>
  <c r="D16" i="10" s="1"/>
  <c r="D17" i="10" s="1"/>
  <c r="C15" i="10"/>
  <c r="C16" i="10"/>
  <c r="C17" i="10" s="1"/>
  <c r="F14" i="10"/>
  <c r="F12" i="10"/>
  <c r="F11" i="10"/>
  <c r="F10" i="10"/>
  <c r="B55" i="9"/>
  <c r="B53" i="9"/>
  <c r="G41" i="9"/>
  <c r="G36" i="9"/>
  <c r="G30" i="9"/>
  <c r="G35" i="9" s="1"/>
  <c r="G24" i="9"/>
  <c r="G29" i="9" s="1"/>
  <c r="G18" i="9"/>
  <c r="G23" i="9"/>
  <c r="G13" i="9"/>
  <c r="B52" i="9"/>
  <c r="G12" i="9"/>
  <c r="G6" i="9"/>
  <c r="G11" i="9" s="1"/>
  <c r="C9" i="24"/>
  <c r="D10" i="11"/>
  <c r="E10" i="11" s="1"/>
  <c r="G17" i="9"/>
  <c r="F15" i="10"/>
  <c r="F16" i="10"/>
  <c r="F17" i="10" s="1"/>
  <c r="B51" i="9"/>
  <c r="D12" i="3"/>
  <c r="D13" i="3" s="1"/>
  <c r="D14" i="3" s="1"/>
  <c r="P416" i="7"/>
  <c r="P417" i="7" s="1"/>
  <c r="P418" i="7" s="1"/>
  <c r="N415" i="7"/>
  <c r="O415" i="7" s="1"/>
  <c r="N414" i="7"/>
  <c r="O414" i="7" s="1"/>
  <c r="N413" i="7"/>
  <c r="O413" i="7" s="1"/>
  <c r="N412" i="7"/>
  <c r="O412" i="7" s="1"/>
  <c r="N411" i="7"/>
  <c r="O411" i="7" s="1"/>
  <c r="P408" i="7"/>
  <c r="P409" i="7" s="1"/>
  <c r="P410" i="7" s="1"/>
  <c r="N407" i="7"/>
  <c r="O407" i="7" s="1"/>
  <c r="N406" i="7"/>
  <c r="O406" i="7" s="1"/>
  <c r="N405" i="7"/>
  <c r="O405" i="7" s="1"/>
  <c r="N404" i="7"/>
  <c r="O404" i="7" s="1"/>
  <c r="N403" i="7"/>
  <c r="O403" i="7" s="1"/>
  <c r="P400" i="7"/>
  <c r="P401" i="7" s="1"/>
  <c r="P402" i="7" s="1"/>
  <c r="N399" i="7"/>
  <c r="O399" i="7" s="1"/>
  <c r="N398" i="7"/>
  <c r="O398" i="7" s="1"/>
  <c r="N397" i="7"/>
  <c r="O397" i="7" s="1"/>
  <c r="N396" i="7"/>
  <c r="N395" i="7"/>
  <c r="O395" i="7" s="1"/>
  <c r="P392" i="7"/>
  <c r="P393" i="7"/>
  <c r="P394" i="7" s="1"/>
  <c r="N391" i="7"/>
  <c r="O391" i="7" s="1"/>
  <c r="N390" i="7"/>
  <c r="O390" i="7" s="1"/>
  <c r="N389" i="7"/>
  <c r="O389" i="7" s="1"/>
  <c r="N388" i="7"/>
  <c r="O388" i="7" s="1"/>
  <c r="N387" i="7"/>
  <c r="O387" i="7" s="1"/>
  <c r="P384" i="7"/>
  <c r="P385" i="7" s="1"/>
  <c r="P386" i="7" s="1"/>
  <c r="N383" i="7"/>
  <c r="O383" i="7" s="1"/>
  <c r="N382" i="7"/>
  <c r="O382" i="7" s="1"/>
  <c r="N381" i="7"/>
  <c r="O381" i="7" s="1"/>
  <c r="N380" i="7"/>
  <c r="O380" i="7" s="1"/>
  <c r="N379" i="7"/>
  <c r="O379" i="7" s="1"/>
  <c r="P373" i="7"/>
  <c r="P374" i="7"/>
  <c r="P375" i="7" s="1"/>
  <c r="N373" i="7"/>
  <c r="N374" i="7" s="1"/>
  <c r="N375" i="7" s="1"/>
  <c r="M373" i="7"/>
  <c r="M374" i="7" s="1"/>
  <c r="M375" i="7" s="1"/>
  <c r="O372" i="7"/>
  <c r="O371" i="7"/>
  <c r="O370" i="7"/>
  <c r="O369" i="7"/>
  <c r="O368" i="7"/>
  <c r="O373" i="7"/>
  <c r="O374" i="7" s="1"/>
  <c r="O375" i="7" s="1"/>
  <c r="P365" i="7"/>
  <c r="P366" i="7"/>
  <c r="P367" i="7" s="1"/>
  <c r="N364" i="7"/>
  <c r="O364" i="7" s="1"/>
  <c r="N363" i="7"/>
  <c r="O363" i="7" s="1"/>
  <c r="N362" i="7"/>
  <c r="O362" i="7" s="1"/>
  <c r="N361" i="7"/>
  <c r="O361" i="7" s="1"/>
  <c r="N360" i="7"/>
  <c r="O360" i="7" s="1"/>
  <c r="P356" i="7"/>
  <c r="N356" i="7"/>
  <c r="P355" i="7"/>
  <c r="N355" i="7"/>
  <c r="O355" i="7"/>
  <c r="P354" i="7"/>
  <c r="N354" i="7"/>
  <c r="P353" i="7"/>
  <c r="N353" i="7"/>
  <c r="O353" i="7" s="1"/>
  <c r="P352" i="7"/>
  <c r="N352" i="7"/>
  <c r="N348" i="7"/>
  <c r="O348" i="7" s="1"/>
  <c r="O349" i="7" s="1"/>
  <c r="O350" i="7" s="1"/>
  <c r="O351" i="7" s="1"/>
  <c r="O346" i="7"/>
  <c r="O345" i="7"/>
  <c r="O344" i="7"/>
  <c r="P341" i="7"/>
  <c r="P342" i="7"/>
  <c r="P343" i="7" s="1"/>
  <c r="N341" i="7"/>
  <c r="N342" i="7" s="1"/>
  <c r="N343" i="7" s="1"/>
  <c r="M341" i="7"/>
  <c r="M342" i="7" s="1"/>
  <c r="M343" i="7" s="1"/>
  <c r="O340" i="7"/>
  <c r="O339" i="7"/>
  <c r="O338" i="7"/>
  <c r="O337" i="7"/>
  <c r="O336" i="7"/>
  <c r="P332" i="7"/>
  <c r="N332" i="7"/>
  <c r="O332" i="7" s="1"/>
  <c r="P331" i="7"/>
  <c r="N331" i="7"/>
  <c r="P330" i="7"/>
  <c r="N330" i="7"/>
  <c r="O330" i="7"/>
  <c r="P329" i="7"/>
  <c r="N329" i="7"/>
  <c r="P328" i="7"/>
  <c r="N328" i="7"/>
  <c r="P325" i="7"/>
  <c r="P326" i="7"/>
  <c r="P327" i="7" s="1"/>
  <c r="N325" i="7"/>
  <c r="N326" i="7" s="1"/>
  <c r="N327" i="7" s="1"/>
  <c r="M325" i="7"/>
  <c r="M326" i="7" s="1"/>
  <c r="M327" i="7" s="1"/>
  <c r="O323" i="7"/>
  <c r="O322" i="7"/>
  <c r="O321" i="7"/>
  <c r="O320" i="7"/>
  <c r="M317" i="7"/>
  <c r="M318" i="7" s="1"/>
  <c r="M319" i="7" s="1"/>
  <c r="O316" i="7"/>
  <c r="O315" i="7"/>
  <c r="N314" i="7"/>
  <c r="N317" i="7" s="1"/>
  <c r="N318" i="7" s="1"/>
  <c r="N319" i="7" s="1"/>
  <c r="O313" i="7"/>
  <c r="P312" i="7"/>
  <c r="P317" i="7"/>
  <c r="P318" i="7" s="1"/>
  <c r="P319" i="7" s="1"/>
  <c r="O312" i="7"/>
  <c r="P303" i="7"/>
  <c r="P304" i="7" s="1"/>
  <c r="P305" i="7" s="1"/>
  <c r="N303" i="7"/>
  <c r="N304" i="7"/>
  <c r="N305" i="7" s="1"/>
  <c r="M303" i="7"/>
  <c r="M304" i="7" s="1"/>
  <c r="M305" i="7" s="1"/>
  <c r="O302" i="7"/>
  <c r="O301" i="7"/>
  <c r="O300" i="7"/>
  <c r="O299" i="7"/>
  <c r="O298" i="7"/>
  <c r="P295" i="7"/>
  <c r="P296" i="7" s="1"/>
  <c r="P297" i="7" s="1"/>
  <c r="N295" i="7"/>
  <c r="N296" i="7"/>
  <c r="N297" i="7" s="1"/>
  <c r="M295" i="7"/>
  <c r="M296" i="7" s="1"/>
  <c r="M297" i="7" s="1"/>
  <c r="O294" i="7"/>
  <c r="O293" i="7"/>
  <c r="O292" i="7"/>
  <c r="O291" i="7"/>
  <c r="O290" i="7"/>
  <c r="P287" i="7"/>
  <c r="P288" i="7" s="1"/>
  <c r="P289" i="7" s="1"/>
  <c r="N287" i="7"/>
  <c r="N288" i="7"/>
  <c r="N289" i="7" s="1"/>
  <c r="M287" i="7"/>
  <c r="M288" i="7" s="1"/>
  <c r="M289" i="7" s="1"/>
  <c r="O286" i="7"/>
  <c r="O285" i="7"/>
  <c r="O284" i="7"/>
  <c r="O283" i="7"/>
  <c r="O282" i="7"/>
  <c r="O287" i="7"/>
  <c r="O288" i="7" s="1"/>
  <c r="O289" i="7" s="1"/>
  <c r="P279" i="7"/>
  <c r="P280" i="7"/>
  <c r="P281" i="7" s="1"/>
  <c r="N279" i="7"/>
  <c r="N280" i="7" s="1"/>
  <c r="N281" i="7" s="1"/>
  <c r="M279" i="7"/>
  <c r="M280" i="7"/>
  <c r="M281" i="7" s="1"/>
  <c r="O274" i="7"/>
  <c r="O273" i="7"/>
  <c r="O272" i="7"/>
  <c r="O271" i="7"/>
  <c r="O270" i="7"/>
  <c r="O279" i="7" s="1"/>
  <c r="O280" i="7" s="1"/>
  <c r="O281" i="7" s="1"/>
  <c r="P263" i="7"/>
  <c r="P264" i="7"/>
  <c r="P265" i="7" s="1"/>
  <c r="N263" i="7"/>
  <c r="N264" i="7" s="1"/>
  <c r="N265" i="7" s="1"/>
  <c r="M263" i="7"/>
  <c r="M264" i="7" s="1"/>
  <c r="M265" i="7" s="1"/>
  <c r="O262" i="7"/>
  <c r="O261" i="7"/>
  <c r="O260" i="7"/>
  <c r="O259" i="7"/>
  <c r="O258" i="7"/>
  <c r="P255" i="7"/>
  <c r="P256" i="7"/>
  <c r="P257" i="7" s="1"/>
  <c r="N255" i="7"/>
  <c r="N256" i="7" s="1"/>
  <c r="N257" i="7" s="1"/>
  <c r="M255" i="7"/>
  <c r="M256" i="7"/>
  <c r="M257" i="7" s="1"/>
  <c r="O253" i="7"/>
  <c r="O252" i="7"/>
  <c r="O251" i="7"/>
  <c r="O250" i="7"/>
  <c r="O249" i="7"/>
  <c r="P246" i="7"/>
  <c r="P247" i="7" s="1"/>
  <c r="P248" i="7" s="1"/>
  <c r="N246" i="7"/>
  <c r="N247" i="7" s="1"/>
  <c r="N248" i="7" s="1"/>
  <c r="M246" i="7"/>
  <c r="M247" i="7" s="1"/>
  <c r="M248" i="7" s="1"/>
  <c r="O245" i="7"/>
  <c r="O244" i="7"/>
  <c r="O243" i="7"/>
  <c r="O242" i="7"/>
  <c r="O241" i="7"/>
  <c r="O246" i="7"/>
  <c r="O247" i="7" s="1"/>
  <c r="O248" i="7" s="1"/>
  <c r="P237" i="7"/>
  <c r="N237" i="7"/>
  <c r="O237" i="7" s="1"/>
  <c r="P236" i="7"/>
  <c r="N236" i="7"/>
  <c r="O236" i="7" s="1"/>
  <c r="P235" i="7"/>
  <c r="N235" i="7"/>
  <c r="O235" i="7" s="1"/>
  <c r="P234" i="7"/>
  <c r="N234" i="7"/>
  <c r="O234" i="7" s="1"/>
  <c r="P231" i="7"/>
  <c r="P232" i="7" s="1"/>
  <c r="P233" i="7" s="1"/>
  <c r="N231" i="7"/>
  <c r="N232" i="7"/>
  <c r="N233" i="7" s="1"/>
  <c r="M231" i="7"/>
  <c r="M232" i="7" s="1"/>
  <c r="M233" i="7" s="1"/>
  <c r="O230" i="7"/>
  <c r="O229" i="7"/>
  <c r="O228" i="7"/>
  <c r="O227" i="7"/>
  <c r="O226" i="7"/>
  <c r="P223" i="7"/>
  <c r="P224" i="7" s="1"/>
  <c r="P225" i="7" s="1"/>
  <c r="N223" i="7"/>
  <c r="N224" i="7"/>
  <c r="N225" i="7" s="1"/>
  <c r="M223" i="7"/>
  <c r="M224" i="7" s="1"/>
  <c r="M225" i="7" s="1"/>
  <c r="O222" i="7"/>
  <c r="O221" i="7"/>
  <c r="O220" i="7"/>
  <c r="O219" i="7"/>
  <c r="O218" i="7"/>
  <c r="P215" i="7"/>
  <c r="P216" i="7" s="1"/>
  <c r="P217" i="7" s="1"/>
  <c r="N215" i="7"/>
  <c r="N216" i="7"/>
  <c r="N217" i="7" s="1"/>
  <c r="M215" i="7"/>
  <c r="M216" i="7" s="1"/>
  <c r="M217" i="7" s="1"/>
  <c r="O214" i="7"/>
  <c r="O213" i="7"/>
  <c r="O212" i="7"/>
  <c r="O211" i="7"/>
  <c r="O210" i="7"/>
  <c r="O209" i="7"/>
  <c r="P202" i="7"/>
  <c r="P203" i="7"/>
  <c r="P204" i="7" s="1"/>
  <c r="N201" i="7"/>
  <c r="N200" i="7"/>
  <c r="N199" i="7"/>
  <c r="N198" i="7"/>
  <c r="N197" i="7"/>
  <c r="P194" i="7"/>
  <c r="P195" i="7"/>
  <c r="P196" i="7" s="1"/>
  <c r="N194" i="7"/>
  <c r="N195" i="7" s="1"/>
  <c r="N196" i="7" s="1"/>
  <c r="M194" i="7"/>
  <c r="M195" i="7" s="1"/>
  <c r="M196" i="7" s="1"/>
  <c r="O193" i="7"/>
  <c r="O192" i="7"/>
  <c r="O191" i="7"/>
  <c r="O190" i="7"/>
  <c r="O189" i="7"/>
  <c r="P186" i="7"/>
  <c r="P187" i="7" s="1"/>
  <c r="P188" i="7" s="1"/>
  <c r="N186" i="7"/>
  <c r="N187" i="7"/>
  <c r="N188" i="7" s="1"/>
  <c r="M186" i="7"/>
  <c r="M187" i="7" s="1"/>
  <c r="M188" i="7" s="1"/>
  <c r="O185" i="7"/>
  <c r="O184" i="7"/>
  <c r="O183" i="7"/>
  <c r="O182" i="7"/>
  <c r="O181" i="7"/>
  <c r="P178" i="7"/>
  <c r="P179" i="7" s="1"/>
  <c r="P180" i="7" s="1"/>
  <c r="N178" i="7"/>
  <c r="N179" i="7"/>
  <c r="N180" i="7" s="1"/>
  <c r="M178" i="7"/>
  <c r="M179" i="7" s="1"/>
  <c r="M180" i="7" s="1"/>
  <c r="O177" i="7"/>
  <c r="O176" i="7"/>
  <c r="O175" i="7"/>
  <c r="O174" i="7"/>
  <c r="P171" i="7"/>
  <c r="N171" i="7"/>
  <c r="M171" i="7"/>
  <c r="O169" i="7"/>
  <c r="O168" i="7"/>
  <c r="O167" i="7"/>
  <c r="O166" i="7"/>
  <c r="O165" i="7"/>
  <c r="P158" i="7"/>
  <c r="P159" i="7" s="1"/>
  <c r="P160" i="7" s="1"/>
  <c r="N158" i="7"/>
  <c r="N159" i="7" s="1"/>
  <c r="N160" i="7" s="1"/>
  <c r="M158" i="7"/>
  <c r="M159" i="7" s="1"/>
  <c r="M160" i="7" s="1"/>
  <c r="O157" i="7"/>
  <c r="O156" i="7"/>
  <c r="O155" i="7"/>
  <c r="O154" i="7"/>
  <c r="O153" i="7"/>
  <c r="P150" i="7"/>
  <c r="P151" i="7" s="1"/>
  <c r="P152" i="7" s="1"/>
  <c r="N150" i="7"/>
  <c r="N151" i="7"/>
  <c r="N152" i="7" s="1"/>
  <c r="M150" i="7"/>
  <c r="M151" i="7" s="1"/>
  <c r="M152" i="7" s="1"/>
  <c r="O149" i="7"/>
  <c r="O148" i="7"/>
  <c r="O147" i="7"/>
  <c r="O146" i="7"/>
  <c r="O145" i="7"/>
  <c r="P142" i="7"/>
  <c r="P143" i="7" s="1"/>
  <c r="P144" i="7" s="1"/>
  <c r="N142" i="7"/>
  <c r="N143" i="7"/>
  <c r="N144" i="7" s="1"/>
  <c r="M142" i="7"/>
  <c r="M143" i="7" s="1"/>
  <c r="M144" i="7" s="1"/>
  <c r="O138" i="7"/>
  <c r="O137" i="7"/>
  <c r="O136" i="7"/>
  <c r="O135" i="7"/>
  <c r="O134" i="7"/>
  <c r="P131" i="7"/>
  <c r="P132" i="7" s="1"/>
  <c r="P133" i="7" s="1"/>
  <c r="N131" i="7"/>
  <c r="N132" i="7"/>
  <c r="N133" i="7" s="1"/>
  <c r="M131" i="7"/>
  <c r="M132" i="7" s="1"/>
  <c r="M133" i="7" s="1"/>
  <c r="O130" i="7"/>
  <c r="O129" i="7"/>
  <c r="O128" i="7"/>
  <c r="O127" i="7"/>
  <c r="O126" i="7"/>
  <c r="P123" i="7"/>
  <c r="P124" i="7" s="1"/>
  <c r="P125" i="7" s="1"/>
  <c r="N123" i="7"/>
  <c r="N124" i="7"/>
  <c r="N125" i="7" s="1"/>
  <c r="M123" i="7"/>
  <c r="M124" i="7" s="1"/>
  <c r="M125" i="7" s="1"/>
  <c r="O122" i="7"/>
  <c r="O121" i="7"/>
  <c r="O120" i="7"/>
  <c r="O119" i="7"/>
  <c r="O118" i="7"/>
  <c r="P111" i="7"/>
  <c r="P112" i="7" s="1"/>
  <c r="P113" i="7" s="1"/>
  <c r="N110" i="7"/>
  <c r="O110" i="7" s="1"/>
  <c r="N109" i="7"/>
  <c r="O109" i="7" s="1"/>
  <c r="N108" i="7"/>
  <c r="O108" i="7" s="1"/>
  <c r="N107" i="7"/>
  <c r="O107" i="7" s="1"/>
  <c r="N106" i="7"/>
  <c r="N102" i="7"/>
  <c r="O102" i="7" s="1"/>
  <c r="N101" i="7"/>
  <c r="O101" i="7" s="1"/>
  <c r="P100" i="7"/>
  <c r="N100" i="7"/>
  <c r="O100" i="7" s="1"/>
  <c r="P99" i="7"/>
  <c r="N99" i="7"/>
  <c r="O99" i="7" s="1"/>
  <c r="P98" i="7"/>
  <c r="N98" i="7"/>
  <c r="O98" i="7" s="1"/>
  <c r="P95" i="7"/>
  <c r="P96" i="7" s="1"/>
  <c r="P97" i="7" s="1"/>
  <c r="N95" i="7"/>
  <c r="N96" i="7"/>
  <c r="N97" i="7" s="1"/>
  <c r="M95" i="7"/>
  <c r="M96" i="7" s="1"/>
  <c r="M97" i="7" s="1"/>
  <c r="O94" i="7"/>
  <c r="O93" i="7"/>
  <c r="O92" i="7"/>
  <c r="O91" i="7"/>
  <c r="O90" i="7"/>
  <c r="N86" i="7"/>
  <c r="P86" i="7" s="1"/>
  <c r="N85" i="7"/>
  <c r="P85" i="7" s="1"/>
  <c r="N84" i="7"/>
  <c r="O84" i="7" s="1"/>
  <c r="N83" i="7"/>
  <c r="P83" i="7" s="1"/>
  <c r="N82" i="7"/>
  <c r="P82" i="7" s="1"/>
  <c r="P87" i="7" s="1"/>
  <c r="P79" i="7"/>
  <c r="P80" i="7"/>
  <c r="P81" i="7" s="1"/>
  <c r="N79" i="7"/>
  <c r="N80" i="7" s="1"/>
  <c r="N81" i="7"/>
  <c r="M79" i="7"/>
  <c r="M80" i="7" s="1"/>
  <c r="M81" i="7" s="1"/>
  <c r="O78" i="7"/>
  <c r="O77" i="7"/>
  <c r="O76" i="7"/>
  <c r="O75" i="7"/>
  <c r="O74" i="7"/>
  <c r="P70" i="7"/>
  <c r="N70" i="7"/>
  <c r="O70" i="7" s="1"/>
  <c r="P69" i="7"/>
  <c r="N69" i="7"/>
  <c r="O69" i="7" s="1"/>
  <c r="P68" i="7"/>
  <c r="N68" i="7"/>
  <c r="O68" i="7" s="1"/>
  <c r="P67" i="7"/>
  <c r="N67" i="7"/>
  <c r="O67" i="7" s="1"/>
  <c r="P66" i="7"/>
  <c r="N66" i="7"/>
  <c r="O66" i="7" s="1"/>
  <c r="P63" i="7"/>
  <c r="P64" i="7" s="1"/>
  <c r="P65" i="7" s="1"/>
  <c r="N63" i="7"/>
  <c r="N64" i="7"/>
  <c r="N65" i="7" s="1"/>
  <c r="M63" i="7"/>
  <c r="M64" i="7" s="1"/>
  <c r="M65" i="7" s="1"/>
  <c r="O62" i="7"/>
  <c r="O61" i="7"/>
  <c r="O60" i="7"/>
  <c r="O59" i="7"/>
  <c r="P52" i="7"/>
  <c r="P53" i="7"/>
  <c r="P54" i="7" s="1"/>
  <c r="O7" i="11" s="1"/>
  <c r="N52" i="7"/>
  <c r="N53" i="7" s="1"/>
  <c r="N54" i="7" s="1"/>
  <c r="M52" i="7"/>
  <c r="M53" i="7" s="1"/>
  <c r="M54" i="7" s="1"/>
  <c r="O51" i="7"/>
  <c r="O50" i="7"/>
  <c r="O49" i="7"/>
  <c r="O48" i="7"/>
  <c r="O47" i="7"/>
  <c r="P43" i="7"/>
  <c r="N43" i="7"/>
  <c r="O43" i="7" s="1"/>
  <c r="P42" i="7"/>
  <c r="N42" i="7"/>
  <c r="O42" i="7" s="1"/>
  <c r="P41" i="7"/>
  <c r="N41" i="7"/>
  <c r="O41" i="7" s="1"/>
  <c r="P40" i="7"/>
  <c r="N40" i="7"/>
  <c r="P39" i="7"/>
  <c r="N39" i="7"/>
  <c r="O39" i="7" s="1"/>
  <c r="P36" i="7"/>
  <c r="P37" i="7"/>
  <c r="P38" i="7" s="1"/>
  <c r="N35" i="7"/>
  <c r="O35" i="7" s="1"/>
  <c r="N34" i="7"/>
  <c r="O34" i="7" s="1"/>
  <c r="N33" i="7"/>
  <c r="O33" i="7" s="1"/>
  <c r="N32" i="7"/>
  <c r="N31" i="7"/>
  <c r="O31" i="7"/>
  <c r="P27" i="7"/>
  <c r="N27" i="7"/>
  <c r="M27" i="7"/>
  <c r="P26" i="7"/>
  <c r="N26" i="7"/>
  <c r="M26" i="7"/>
  <c r="P25" i="7"/>
  <c r="N25" i="7"/>
  <c r="M25" i="7"/>
  <c r="P24" i="7"/>
  <c r="N24" i="7"/>
  <c r="M24" i="7"/>
  <c r="P23" i="7"/>
  <c r="N23" i="7"/>
  <c r="M23" i="7"/>
  <c r="P19" i="7"/>
  <c r="N19" i="7"/>
  <c r="M19" i="7"/>
  <c r="P18" i="7"/>
  <c r="M18" i="7"/>
  <c r="O18" i="7" s="1"/>
  <c r="P17" i="7"/>
  <c r="N17" i="7"/>
  <c r="M17" i="7"/>
  <c r="P16" i="7"/>
  <c r="N16" i="7"/>
  <c r="M16" i="7"/>
  <c r="P15" i="7"/>
  <c r="N15" i="7"/>
  <c r="M15" i="7"/>
  <c r="N11" i="7"/>
  <c r="M11" i="7"/>
  <c r="P10" i="7"/>
  <c r="N10" i="7"/>
  <c r="M10" i="7"/>
  <c r="P9" i="7"/>
  <c r="N9" i="7"/>
  <c r="M9" i="7"/>
  <c r="P8" i="7"/>
  <c r="N8" i="7"/>
  <c r="M8" i="7"/>
  <c r="P7" i="7"/>
  <c r="N7" i="7"/>
  <c r="M7" i="7"/>
  <c r="M202" i="7"/>
  <c r="M203" i="7" s="1"/>
  <c r="M204" i="7" s="1"/>
  <c r="O63" i="7"/>
  <c r="O64" i="7"/>
  <c r="O65" i="7" s="1"/>
  <c r="O131" i="7"/>
  <c r="O132" i="7" s="1"/>
  <c r="O133" i="7" s="1"/>
  <c r="O158" i="7"/>
  <c r="O159" i="7" s="1"/>
  <c r="O160" i="7" s="1"/>
  <c r="O178" i="7"/>
  <c r="O179" i="7" s="1"/>
  <c r="O180" i="7" s="1"/>
  <c r="O194" i="7"/>
  <c r="O195" i="7"/>
  <c r="O196" i="7" s="1"/>
  <c r="O223" i="7"/>
  <c r="O224" i="7" s="1"/>
  <c r="O225" i="7" s="1"/>
  <c r="N357" i="7"/>
  <c r="N358" i="7"/>
  <c r="N359" i="7" s="1"/>
  <c r="P333" i="7"/>
  <c r="P334" i="7" s="1"/>
  <c r="P335" i="7" s="1"/>
  <c r="O341" i="7"/>
  <c r="O342" i="7"/>
  <c r="O343" i="7" s="1"/>
  <c r="M87" i="7"/>
  <c r="M88" i="7" s="1"/>
  <c r="M89" i="7" s="1"/>
  <c r="M333" i="7"/>
  <c r="M334" i="7" s="1"/>
  <c r="M335" i="7" s="1"/>
  <c r="M384" i="7"/>
  <c r="M385" i="7" s="1"/>
  <c r="M386" i="7" s="1"/>
  <c r="M416" i="7"/>
  <c r="M417" i="7" s="1"/>
  <c r="M418" i="7" s="1"/>
  <c r="M400" i="7"/>
  <c r="M401" i="7" s="1"/>
  <c r="M402" i="7" s="1"/>
  <c r="M365" i="7"/>
  <c r="M366" i="7" s="1"/>
  <c r="M367" i="7" s="1"/>
  <c r="M103" i="7"/>
  <c r="M104" i="7" s="1"/>
  <c r="M105" i="7" s="1"/>
  <c r="O303" i="7"/>
  <c r="O304" i="7" s="1"/>
  <c r="O305" i="7" s="1"/>
  <c r="O263" i="7"/>
  <c r="O264" i="7"/>
  <c r="O265" i="7" s="1"/>
  <c r="O215" i="7"/>
  <c r="O216" i="7" s="1"/>
  <c r="O217" i="7" s="1"/>
  <c r="O142" i="7"/>
  <c r="O143" i="7"/>
  <c r="O144" i="7" s="1"/>
  <c r="N36" i="7"/>
  <c r="N37" i="7" s="1"/>
  <c r="N38" i="7" s="1"/>
  <c r="N202" i="7"/>
  <c r="N203" i="7"/>
  <c r="N204" i="7" s="1"/>
  <c r="N205" i="7" s="1"/>
  <c r="M349" i="7"/>
  <c r="M350" i="7" s="1"/>
  <c r="M351" i="7" s="1"/>
  <c r="M392" i="7"/>
  <c r="M393" i="7" s="1"/>
  <c r="M394" i="7" s="1"/>
  <c r="M408" i="7"/>
  <c r="M409" i="7" s="1"/>
  <c r="M410" i="7" s="1"/>
  <c r="O32" i="7"/>
  <c r="O36" i="7" s="1"/>
  <c r="O37" i="7" s="1"/>
  <c r="O38" i="7" s="1"/>
  <c r="O52" i="7"/>
  <c r="O53" i="7" s="1"/>
  <c r="O54" i="7" s="1"/>
  <c r="O150" i="7"/>
  <c r="O151" i="7" s="1"/>
  <c r="O152" i="7" s="1"/>
  <c r="O171" i="7"/>
  <c r="O172" i="7"/>
  <c r="O173" i="7" s="1"/>
  <c r="O186" i="7"/>
  <c r="O187" i="7" s="1"/>
  <c r="O188" i="7" s="1"/>
  <c r="O198" i="7"/>
  <c r="O199" i="7"/>
  <c r="O200" i="7"/>
  <c r="O201" i="7"/>
  <c r="O231" i="7"/>
  <c r="O232" i="7"/>
  <c r="O233" i="7" s="1"/>
  <c r="M238" i="7"/>
  <c r="M239" i="7" s="1"/>
  <c r="M240" i="7" s="1"/>
  <c r="O255" i="7"/>
  <c r="O256" i="7" s="1"/>
  <c r="O257" i="7" s="1"/>
  <c r="O295" i="7"/>
  <c r="O296" i="7"/>
  <c r="O297" i="7" s="1"/>
  <c r="O325" i="7"/>
  <c r="O326" i="7" s="1"/>
  <c r="O327" i="7" s="1"/>
  <c r="N333" i="7"/>
  <c r="N334" i="7"/>
  <c r="N335" i="7" s="1"/>
  <c r="O329" i="7"/>
  <c r="O331" i="7"/>
  <c r="N347" i="7"/>
  <c r="M357" i="7"/>
  <c r="M358" i="7" s="1"/>
  <c r="M359" i="7" s="1"/>
  <c r="P357" i="7"/>
  <c r="P358" i="7" s="1"/>
  <c r="P359" i="7" s="1"/>
  <c r="O354" i="7"/>
  <c r="O356" i="7"/>
  <c r="O396" i="7"/>
  <c r="M71" i="7"/>
  <c r="M72" i="7" s="1"/>
  <c r="M73" i="7" s="1"/>
  <c r="M111" i="7"/>
  <c r="M112" i="7" s="1"/>
  <c r="M113" i="7" s="1"/>
  <c r="O123" i="7"/>
  <c r="O124" i="7" s="1"/>
  <c r="O125" i="7" s="1"/>
  <c r="O95" i="7"/>
  <c r="O96" i="7"/>
  <c r="O97" i="7" s="1"/>
  <c r="O79" i="7"/>
  <c r="O80" i="7" s="1"/>
  <c r="O81" i="7" s="1"/>
  <c r="N306" i="7"/>
  <c r="P419" i="7"/>
  <c r="P306" i="7"/>
  <c r="M172" i="7"/>
  <c r="M173" i="7" s="1"/>
  <c r="O197" i="7"/>
  <c r="O202" i="7" s="1"/>
  <c r="O203" i="7" s="1"/>
  <c r="O204" i="7" s="1"/>
  <c r="O205" i="7" s="1"/>
  <c r="O352" i="7"/>
  <c r="O357" i="7"/>
  <c r="O358" i="7" s="1"/>
  <c r="O359" i="7" s="1"/>
  <c r="N172" i="7"/>
  <c r="N173" i="7"/>
  <c r="P172" i="7"/>
  <c r="P173" i="7" s="1"/>
  <c r="P205" i="7" s="1"/>
  <c r="O328" i="7"/>
  <c r="O333" i="7" s="1"/>
  <c r="O334" i="7" s="1"/>
  <c r="O335" i="7" s="1"/>
  <c r="M38" i="7"/>
  <c r="O347" i="7"/>
  <c r="P347" i="7"/>
  <c r="P349" i="7" s="1"/>
  <c r="P350" i="7" s="1"/>
  <c r="P351" i="7" s="1"/>
  <c r="C33" i="11"/>
  <c r="C49" i="11"/>
  <c r="C50" i="11"/>
  <c r="I33" i="11"/>
  <c r="I49" i="11"/>
  <c r="X7" i="11"/>
  <c r="T7" i="11"/>
  <c r="Q17" i="11"/>
  <c r="X12" i="11"/>
  <c r="T12" i="11"/>
  <c r="T10" i="11"/>
  <c r="L7" i="11"/>
  <c r="H11" i="11"/>
  <c r="P10" i="11"/>
  <c r="P9" i="11"/>
  <c r="L12" i="11"/>
  <c r="L9" i="11"/>
  <c r="D10" i="24"/>
  <c r="L10" i="11"/>
  <c r="C12" i="24"/>
  <c r="T15" i="11"/>
  <c r="G27" i="11"/>
  <c r="H27" i="11" s="1"/>
  <c r="L15" i="11"/>
  <c r="E121" i="3"/>
  <c r="E122" i="3" s="1"/>
  <c r="C15" i="24"/>
  <c r="C10" i="24"/>
  <c r="C8" i="24"/>
  <c r="C7" i="24"/>
  <c r="X15" i="11"/>
  <c r="Y15" i="11" s="1"/>
  <c r="D15" i="11"/>
  <c r="D11" i="11"/>
  <c r="P7" i="11"/>
  <c r="X10" i="11"/>
  <c r="E10" i="24"/>
  <c r="T8" i="11"/>
  <c r="I25" i="11" s="1"/>
  <c r="P11" i="11"/>
  <c r="X9" i="11"/>
  <c r="Y9" i="11" s="1"/>
  <c r="U8" i="11"/>
  <c r="C11" i="24"/>
  <c r="C13" i="24"/>
  <c r="H15" i="11"/>
  <c r="I15" i="11" s="1"/>
  <c r="D12" i="24"/>
  <c r="P15" i="11"/>
  <c r="D8" i="11"/>
  <c r="C16" i="24"/>
  <c r="C17" i="24" s="1"/>
  <c r="D16" i="24"/>
  <c r="E12" i="3"/>
  <c r="E13" i="3" s="1"/>
  <c r="E14" i="3" s="1"/>
  <c r="E31" i="3"/>
  <c r="F9" i="17"/>
  <c r="I9" i="17" s="1"/>
  <c r="D16" i="11"/>
  <c r="H16" i="11"/>
  <c r="D48" i="11" s="1"/>
  <c r="E48" i="11" s="1"/>
  <c r="C12" i="17"/>
  <c r="G14" i="17"/>
  <c r="B56" i="9"/>
  <c r="B57" i="9" s="1"/>
  <c r="B58" i="9" s="1"/>
  <c r="X11" i="11"/>
  <c r="B12" i="17"/>
  <c r="E12" i="17" s="1"/>
  <c r="C15" i="17"/>
  <c r="F14" i="17"/>
  <c r="I14" i="17" s="1"/>
  <c r="H7" i="11"/>
  <c r="P12" i="11"/>
  <c r="E11" i="24"/>
  <c r="T11" i="11"/>
  <c r="E132" i="3"/>
  <c r="E133" i="3" s="1"/>
  <c r="G15" i="17"/>
  <c r="F15" i="17"/>
  <c r="I15" i="17" s="1"/>
  <c r="H15" i="17"/>
  <c r="E15" i="24"/>
  <c r="C14" i="17"/>
  <c r="B14" i="17"/>
  <c r="E14" i="17" s="1"/>
  <c r="D15" i="24"/>
  <c r="B15" i="17"/>
  <c r="F12" i="17"/>
  <c r="I12" i="17" s="1"/>
  <c r="G12" i="17"/>
  <c r="L11" i="11"/>
  <c r="X8" i="11"/>
  <c r="E61" i="3"/>
  <c r="E62" i="3" s="1"/>
  <c r="E63" i="3" s="1"/>
  <c r="G9" i="17"/>
  <c r="F13" i="17"/>
  <c r="I13" i="17" s="1"/>
  <c r="G13" i="17"/>
  <c r="D15" i="17"/>
  <c r="I16" i="11"/>
  <c r="J16" i="11" s="1"/>
  <c r="H18" i="11"/>
  <c r="D18" i="11"/>
  <c r="C9" i="17"/>
  <c r="B9" i="17"/>
  <c r="B13" i="17"/>
  <c r="E13" i="17" s="1"/>
  <c r="C13" i="17"/>
  <c r="L16" i="11"/>
  <c r="D11" i="24"/>
  <c r="T13" i="11"/>
  <c r="E12" i="24"/>
  <c r="F12" i="24" s="1"/>
  <c r="X13" i="11"/>
  <c r="L8" i="11"/>
  <c r="E7" i="24"/>
  <c r="D7" i="11"/>
  <c r="E107" i="3"/>
  <c r="E108" i="3" s="1"/>
  <c r="F10" i="17"/>
  <c r="I10" i="17" s="1"/>
  <c r="L18" i="11"/>
  <c r="D7" i="24"/>
  <c r="D8" i="24"/>
  <c r="F8" i="24" s="1"/>
  <c r="L13" i="11"/>
  <c r="E16" i="24"/>
  <c r="T16" i="11"/>
  <c r="J32" i="11" s="1"/>
  <c r="K32" i="11" s="1"/>
  <c r="H8" i="11"/>
  <c r="P8" i="11"/>
  <c r="G10" i="17"/>
  <c r="P13" i="11"/>
  <c r="E8" i="24"/>
  <c r="H13" i="11"/>
  <c r="C10" i="17"/>
  <c r="B10" i="17"/>
  <c r="E10" i="17" s="1"/>
  <c r="T18" i="11"/>
  <c r="T19" i="11" s="1"/>
  <c r="X16" i="11"/>
  <c r="Y16" i="11" s="1"/>
  <c r="Z16" i="11" s="1"/>
  <c r="J48" i="11"/>
  <c r="K48" i="11" s="1"/>
  <c r="X18" i="11"/>
  <c r="P16" i="11"/>
  <c r="F48" i="11" s="1"/>
  <c r="H48" i="11" s="1"/>
  <c r="P18" i="11"/>
  <c r="P19" i="11" s="1"/>
  <c r="D42" i="11" l="1"/>
  <c r="E42" i="11" s="1"/>
  <c r="Q8" i="11"/>
  <c r="R8" i="11" s="1"/>
  <c r="I43" i="11"/>
  <c r="K43" i="11" s="1"/>
  <c r="D28" i="11"/>
  <c r="E28" i="11" s="1"/>
  <c r="M10" i="11"/>
  <c r="N10" i="11" s="1"/>
  <c r="I27" i="11"/>
  <c r="K27" i="11" s="1"/>
  <c r="P238" i="7"/>
  <c r="P239" i="7" s="1"/>
  <c r="P240" i="7" s="1"/>
  <c r="P266" i="7" s="1"/>
  <c r="J28" i="11"/>
  <c r="K28" i="11" s="1"/>
  <c r="Q10" i="11"/>
  <c r="R10" i="11" s="1"/>
  <c r="P103" i="7"/>
  <c r="P104" i="7" s="1"/>
  <c r="P105" i="7" s="1"/>
  <c r="M11" i="11"/>
  <c r="N11" i="11" s="1"/>
  <c r="I11" i="11"/>
  <c r="J11" i="11" s="1"/>
  <c r="Q11" i="11"/>
  <c r="R11" i="11" s="1"/>
  <c r="F15" i="18"/>
  <c r="H22" i="18"/>
  <c r="I41" i="18"/>
  <c r="H42" i="18"/>
  <c r="I29" i="11"/>
  <c r="K29" i="11" s="1"/>
  <c r="G42" i="11"/>
  <c r="H42" i="11" s="1"/>
  <c r="H41" i="18"/>
  <c r="O16" i="18"/>
  <c r="O24" i="18" s="1"/>
  <c r="E34" i="3"/>
  <c r="E47" i="3"/>
  <c r="E33" i="3"/>
  <c r="O8" i="7"/>
  <c r="O11" i="7"/>
  <c r="P20" i="7"/>
  <c r="P21" i="7" s="1"/>
  <c r="P22" i="7" s="1"/>
  <c r="J44" i="11"/>
  <c r="K44" i="11" s="1"/>
  <c r="F31" i="11"/>
  <c r="F33" i="11" s="1"/>
  <c r="G24" i="11"/>
  <c r="H24" i="11" s="1"/>
  <c r="H30" i="11" s="1"/>
  <c r="E16" i="18"/>
  <c r="J32" i="18" s="1"/>
  <c r="O23" i="7"/>
  <c r="O24" i="7"/>
  <c r="O27" i="7"/>
  <c r="N111" i="7"/>
  <c r="N112" i="7" s="1"/>
  <c r="N113" i="7" s="1"/>
  <c r="G7" i="37"/>
  <c r="N44" i="7"/>
  <c r="N45" i="7" s="1"/>
  <c r="N46" i="7" s="1"/>
  <c r="D31" i="11"/>
  <c r="D33" i="11" s="1"/>
  <c r="K10" i="18"/>
  <c r="K11" i="18"/>
  <c r="Q12" i="18"/>
  <c r="D40" i="11"/>
  <c r="D46" i="11" s="1"/>
  <c r="O40" i="7"/>
  <c r="O44" i="7" s="1"/>
  <c r="O45" i="7" s="1"/>
  <c r="O46" i="7" s="1"/>
  <c r="C22" i="18"/>
  <c r="N16" i="18"/>
  <c r="N24" i="18" s="1"/>
  <c r="Q11" i="18"/>
  <c r="S11" i="18" s="1"/>
  <c r="V15" i="11"/>
  <c r="U18" i="11"/>
  <c r="N400" i="7"/>
  <c r="N401" i="7" s="1"/>
  <c r="N402" i="7" s="1"/>
  <c r="N7" i="11"/>
  <c r="N349" i="7"/>
  <c r="N350" i="7" s="1"/>
  <c r="N351" i="7" s="1"/>
  <c r="N103" i="7"/>
  <c r="N104" i="7" s="1"/>
  <c r="N105" i="7" s="1"/>
  <c r="M18" i="11"/>
  <c r="M19" i="11" s="1"/>
  <c r="G29" i="11"/>
  <c r="H29" i="11" s="1"/>
  <c r="O7" i="7"/>
  <c r="F11" i="18"/>
  <c r="M11" i="18" s="1"/>
  <c r="K12" i="18"/>
  <c r="Q13" i="18"/>
  <c r="Q15" i="18"/>
  <c r="E22" i="18"/>
  <c r="J31" i="11"/>
  <c r="J33" i="11" s="1"/>
  <c r="O10" i="7"/>
  <c r="H16" i="18"/>
  <c r="Q14" i="18"/>
  <c r="S18" i="11"/>
  <c r="F10" i="18"/>
  <c r="P16" i="18"/>
  <c r="P24" i="18" s="1"/>
  <c r="D16" i="18"/>
  <c r="I32" i="18" s="1"/>
  <c r="J16" i="18"/>
  <c r="J33" i="18" s="1"/>
  <c r="K19" i="18"/>
  <c r="I22" i="18"/>
  <c r="W13" i="11"/>
  <c r="W19" i="11" s="1"/>
  <c r="E123" i="3"/>
  <c r="E149" i="3" s="1"/>
  <c r="V7" i="11"/>
  <c r="U13" i="11"/>
  <c r="N71" i="7"/>
  <c r="N72" i="7" s="1"/>
  <c r="N73" i="7" s="1"/>
  <c r="N408" i="7"/>
  <c r="N409" i="7" s="1"/>
  <c r="N410" i="7" s="1"/>
  <c r="N384" i="7"/>
  <c r="N385" i="7" s="1"/>
  <c r="N386" i="7" s="1"/>
  <c r="M12" i="7"/>
  <c r="M13" i="7" s="1"/>
  <c r="M14" i="7" s="1"/>
  <c r="N12" i="7"/>
  <c r="N13" i="7" s="1"/>
  <c r="N14" i="7" s="1"/>
  <c r="P12" i="7"/>
  <c r="P13" i="7" s="1"/>
  <c r="P14" i="7" s="1"/>
  <c r="M20" i="7"/>
  <c r="M21" i="7" s="1"/>
  <c r="M22" i="7" s="1"/>
  <c r="O16" i="7"/>
  <c r="P28" i="7"/>
  <c r="P29" i="7" s="1"/>
  <c r="P30" i="7" s="1"/>
  <c r="M28" i="7"/>
  <c r="M29" i="7" s="1"/>
  <c r="M30" i="7" s="1"/>
  <c r="P44" i="7"/>
  <c r="P45" i="7" s="1"/>
  <c r="P46" i="7" s="1"/>
  <c r="P71" i="7"/>
  <c r="P72" i="7" s="1"/>
  <c r="P73" i="7" s="1"/>
  <c r="O365" i="7"/>
  <c r="O366" i="7" s="1"/>
  <c r="O367" i="7" s="1"/>
  <c r="O392" i="7"/>
  <c r="O393" i="7" s="1"/>
  <c r="O394" i="7" s="1"/>
  <c r="C13" i="11"/>
  <c r="G13" i="11"/>
  <c r="J13" i="11" s="1"/>
  <c r="D22" i="18"/>
  <c r="F21" i="18"/>
  <c r="F25" i="11"/>
  <c r="H25" i="11" s="1"/>
  <c r="M16" i="11"/>
  <c r="N16" i="11" s="1"/>
  <c r="D24" i="11"/>
  <c r="D30" i="11" s="1"/>
  <c r="Y8" i="11"/>
  <c r="J24" i="11"/>
  <c r="K21" i="18"/>
  <c r="O106" i="7"/>
  <c r="O111" i="7" s="1"/>
  <c r="O112" i="7" s="1"/>
  <c r="O113" i="7" s="1"/>
  <c r="K44" i="18"/>
  <c r="Q12" i="11"/>
  <c r="R12" i="11" s="1"/>
  <c r="J45" i="11"/>
  <c r="K45" i="11" s="1"/>
  <c r="F14" i="18"/>
  <c r="K15" i="18"/>
  <c r="M15" i="18" s="1"/>
  <c r="Z7" i="11"/>
  <c r="Y13" i="11"/>
  <c r="I8" i="11"/>
  <c r="J8" i="11" s="1"/>
  <c r="I42" i="18"/>
  <c r="J40" i="11"/>
  <c r="J46" i="11" s="1"/>
  <c r="N20" i="7"/>
  <c r="N21" i="7" s="1"/>
  <c r="N22" i="7" s="1"/>
  <c r="O103" i="7"/>
  <c r="O104" i="7" s="1"/>
  <c r="O105" i="7" s="1"/>
  <c r="J42" i="18"/>
  <c r="D32" i="11"/>
  <c r="E32" i="11" s="1"/>
  <c r="E8" i="11"/>
  <c r="F8" i="11" s="1"/>
  <c r="N365" i="7"/>
  <c r="N366" i="7" s="1"/>
  <c r="N367" i="7" s="1"/>
  <c r="O314" i="7"/>
  <c r="O317" i="7" s="1"/>
  <c r="O318" i="7" s="1"/>
  <c r="O319" i="7" s="1"/>
  <c r="O376" i="7" s="1"/>
  <c r="N238" i="7"/>
  <c r="N239" i="7" s="1"/>
  <c r="N240" i="7" s="1"/>
  <c r="N266" i="7" s="1"/>
  <c r="K13" i="11"/>
  <c r="N13" i="11" s="1"/>
  <c r="F19" i="18"/>
  <c r="I16" i="18"/>
  <c r="I33" i="18" s="1"/>
  <c r="S13" i="11"/>
  <c r="M9" i="11"/>
  <c r="N9" i="11" s="1"/>
  <c r="C41" i="11"/>
  <c r="E41" i="11" s="1"/>
  <c r="Q15" i="11"/>
  <c r="R15" i="11" s="1"/>
  <c r="Q10" i="18"/>
  <c r="N416" i="7"/>
  <c r="N417" i="7" s="1"/>
  <c r="N418" i="7" s="1"/>
  <c r="N392" i="7"/>
  <c r="N393" i="7" s="1"/>
  <c r="N394" i="7" s="1"/>
  <c r="Q19" i="18"/>
  <c r="Q22" i="18" s="1"/>
  <c r="O9" i="7"/>
  <c r="O19" i="7"/>
  <c r="N28" i="7"/>
  <c r="N29" i="7" s="1"/>
  <c r="N30" i="7" s="1"/>
  <c r="O26" i="7"/>
  <c r="O13" i="11"/>
  <c r="O19" i="11" s="1"/>
  <c r="C18" i="11"/>
  <c r="F12" i="18"/>
  <c r="K13" i="18"/>
  <c r="K14" i="18"/>
  <c r="J22" i="18"/>
  <c r="K18" i="11"/>
  <c r="J15" i="17"/>
  <c r="M15" i="17" s="1"/>
  <c r="K10" i="17"/>
  <c r="C16" i="18"/>
  <c r="G11" i="37"/>
  <c r="G10" i="37"/>
  <c r="K9" i="17"/>
  <c r="J9" i="17"/>
  <c r="M9" i="17" s="1"/>
  <c r="K14" i="17"/>
  <c r="J41" i="18"/>
  <c r="O384" i="7"/>
  <c r="O385" i="7" s="1"/>
  <c r="O386" i="7" s="1"/>
  <c r="O85" i="7"/>
  <c r="O86" i="7"/>
  <c r="O400" i="7"/>
  <c r="O401" i="7" s="1"/>
  <c r="O402" i="7" s="1"/>
  <c r="O416" i="7"/>
  <c r="O417" i="7" s="1"/>
  <c r="O418" i="7" s="1"/>
  <c r="K37" i="18"/>
  <c r="O238" i="7"/>
  <c r="O239" i="7" s="1"/>
  <c r="O240" i="7" s="1"/>
  <c r="O266" i="7" s="1"/>
  <c r="O17" i="7"/>
  <c r="O25" i="7"/>
  <c r="P376" i="7"/>
  <c r="P420" i="7" s="1"/>
  <c r="O161" i="7"/>
  <c r="O15" i="7"/>
  <c r="Q7" i="11"/>
  <c r="Q13" i="11" s="1"/>
  <c r="O71" i="7"/>
  <c r="O72" i="7" s="1"/>
  <c r="O73" i="7" s="1"/>
  <c r="G42" i="9"/>
  <c r="G43" i="9" s="1"/>
  <c r="G44" i="9" s="1"/>
  <c r="P161" i="7"/>
  <c r="N161" i="7"/>
  <c r="O306" i="7"/>
  <c r="E9" i="11"/>
  <c r="F9" i="11" s="1"/>
  <c r="F13" i="18"/>
  <c r="E15" i="17"/>
  <c r="O83" i="7"/>
  <c r="K13" i="17"/>
  <c r="F15" i="24"/>
  <c r="K15" i="17"/>
  <c r="E17" i="24"/>
  <c r="E19" i="24" s="1"/>
  <c r="J13" i="17"/>
  <c r="M13" i="17" s="1"/>
  <c r="D17" i="24"/>
  <c r="O82" i="7"/>
  <c r="O87" i="7" s="1"/>
  <c r="O88" i="7" s="1"/>
  <c r="O89" i="7" s="1"/>
  <c r="J12" i="17"/>
  <c r="M12" i="17" s="1"/>
  <c r="J14" i="17"/>
  <c r="M14" i="17" s="1"/>
  <c r="E9" i="17"/>
  <c r="L15" i="17"/>
  <c r="K12" i="17"/>
  <c r="N87" i="7"/>
  <c r="N88" i="7" s="1"/>
  <c r="N89" i="7" s="1"/>
  <c r="P84" i="7"/>
  <c r="M114" i="7"/>
  <c r="M205" i="7"/>
  <c r="F16" i="24"/>
  <c r="M419" i="7"/>
  <c r="P88" i="7"/>
  <c r="P89" i="7" s="1"/>
  <c r="M161" i="7"/>
  <c r="M306" i="7"/>
  <c r="M376" i="7"/>
  <c r="M266" i="7"/>
  <c r="J10" i="17"/>
  <c r="M10" i="17" s="1"/>
  <c r="M8" i="11"/>
  <c r="N8" i="11" s="1"/>
  <c r="F7" i="24"/>
  <c r="J7" i="11"/>
  <c r="F11" i="24"/>
  <c r="G44" i="11"/>
  <c r="H44" i="11" s="1"/>
  <c r="L19" i="11"/>
  <c r="F10" i="24"/>
  <c r="G46" i="11"/>
  <c r="G50" i="11" s="1"/>
  <c r="X19" i="11"/>
  <c r="U16" i="11"/>
  <c r="V16" i="11" s="1"/>
  <c r="H19" i="11"/>
  <c r="E13" i="24"/>
  <c r="F41" i="11"/>
  <c r="H41" i="11" s="1"/>
  <c r="D13" i="24"/>
  <c r="E7" i="11"/>
  <c r="I41" i="11"/>
  <c r="E16" i="11"/>
  <c r="F16" i="11" s="1"/>
  <c r="C19" i="24"/>
  <c r="Y12" i="11"/>
  <c r="Z12" i="11" s="1"/>
  <c r="J47" i="11"/>
  <c r="M12" i="11"/>
  <c r="N12" i="11" s="1"/>
  <c r="Q9" i="11"/>
  <c r="R9" i="11" s="1"/>
  <c r="H31" i="11"/>
  <c r="H33" i="11" s="1"/>
  <c r="Q16" i="11"/>
  <c r="R16" i="11" s="1"/>
  <c r="C30" i="11"/>
  <c r="C34" i="11" s="1"/>
  <c r="C51" i="11" s="1"/>
  <c r="D47" i="11"/>
  <c r="E15" i="11"/>
  <c r="F40" i="11"/>
  <c r="O408" i="7"/>
  <c r="O409" i="7" s="1"/>
  <c r="O410" i="7" s="1"/>
  <c r="D26" i="11"/>
  <c r="E26" i="11" s="1"/>
  <c r="E24" i="11"/>
  <c r="E30" i="11" s="1"/>
  <c r="K25" i="11"/>
  <c r="I30" i="11"/>
  <c r="I34" i="11" s="1"/>
  <c r="E31" i="11"/>
  <c r="E33" i="11" s="1"/>
  <c r="F13" i="24"/>
  <c r="D13" i="11"/>
  <c r="D19" i="11" s="1"/>
  <c r="Z15" i="11"/>
  <c r="Y18" i="11"/>
  <c r="J15" i="11"/>
  <c r="I18" i="11"/>
  <c r="I19" i="11" s="1"/>
  <c r="F47" i="11"/>
  <c r="E150" i="3" l="1"/>
  <c r="F150" i="3" s="1"/>
  <c r="G30" i="11"/>
  <c r="G34" i="11" s="1"/>
  <c r="F30" i="11"/>
  <c r="C19" i="11"/>
  <c r="Z13" i="11"/>
  <c r="E40" i="11"/>
  <c r="E46" i="11" s="1"/>
  <c r="K41" i="18"/>
  <c r="M14" i="18"/>
  <c r="J24" i="18"/>
  <c r="I43" i="18"/>
  <c r="I45" i="18" s="1"/>
  <c r="M13" i="18"/>
  <c r="M10" i="18"/>
  <c r="H43" i="18"/>
  <c r="H45" i="18" s="1"/>
  <c r="J35" i="18"/>
  <c r="J38" i="18" s="1"/>
  <c r="G15" i="37"/>
  <c r="G16" i="37" s="1"/>
  <c r="I16" i="37" s="1"/>
  <c r="E24" i="18"/>
  <c r="G51" i="11"/>
  <c r="I10" i="37"/>
  <c r="H10" i="37"/>
  <c r="J10" i="37" s="1"/>
  <c r="G6" i="37"/>
  <c r="H11" i="37"/>
  <c r="J11" i="37" s="1"/>
  <c r="I11" i="37"/>
  <c r="N376" i="7"/>
  <c r="K31" i="11"/>
  <c r="K33" i="11" s="1"/>
  <c r="G19" i="11"/>
  <c r="J19" i="11" s="1"/>
  <c r="S10" i="18"/>
  <c r="S15" i="18"/>
  <c r="D24" i="18"/>
  <c r="S14" i="18"/>
  <c r="Q16" i="18"/>
  <c r="Q24" i="18" s="1"/>
  <c r="R19" i="18" s="1"/>
  <c r="U19" i="11"/>
  <c r="F22" i="18"/>
  <c r="S13" i="18"/>
  <c r="S21" i="18"/>
  <c r="R13" i="11"/>
  <c r="K16" i="18"/>
  <c r="K20" i="18" s="1"/>
  <c r="N114" i="7"/>
  <c r="P55" i="7"/>
  <c r="O12" i="7"/>
  <c r="O13" i="7" s="1"/>
  <c r="O14" i="7" s="1"/>
  <c r="K19" i="11"/>
  <c r="N19" i="11" s="1"/>
  <c r="M55" i="7"/>
  <c r="M307" i="7" s="1"/>
  <c r="N419" i="7"/>
  <c r="H33" i="18"/>
  <c r="K33" i="18" s="1"/>
  <c r="H24" i="18"/>
  <c r="K40" i="11"/>
  <c r="K46" i="11" s="1"/>
  <c r="O28" i="7"/>
  <c r="O29" i="7" s="1"/>
  <c r="O30" i="7" s="1"/>
  <c r="S12" i="18"/>
  <c r="N55" i="7"/>
  <c r="M19" i="18"/>
  <c r="K22" i="18"/>
  <c r="P114" i="7"/>
  <c r="S19" i="11"/>
  <c r="V19" i="11" s="1"/>
  <c r="Q18" i="11"/>
  <c r="Q19" i="11" s="1"/>
  <c r="R19" i="11" s="1"/>
  <c r="F16" i="18"/>
  <c r="M12" i="18"/>
  <c r="M16" i="18" s="1"/>
  <c r="K24" i="11"/>
  <c r="K30" i="11" s="1"/>
  <c r="J30" i="11"/>
  <c r="J34" i="11" s="1"/>
  <c r="I35" i="18"/>
  <c r="I38" i="18" s="1"/>
  <c r="M21" i="18"/>
  <c r="Y19" i="11"/>
  <c r="Z19" i="11" s="1"/>
  <c r="H34" i="11"/>
  <c r="K42" i="18"/>
  <c r="V13" i="11"/>
  <c r="S19" i="18"/>
  <c r="O419" i="7"/>
  <c r="O420" i="7" s="1"/>
  <c r="I24" i="18"/>
  <c r="F17" i="24"/>
  <c r="H32" i="18"/>
  <c r="C24" i="18"/>
  <c r="J43" i="18"/>
  <c r="F34" i="11"/>
  <c r="O20" i="7"/>
  <c r="O21" i="7" s="1"/>
  <c r="O22" i="7" s="1"/>
  <c r="O55" i="7" s="1"/>
  <c r="O114" i="7"/>
  <c r="N420" i="7"/>
  <c r="D19" i="24"/>
  <c r="B23" i="24" s="1"/>
  <c r="M420" i="7"/>
  <c r="E13" i="11"/>
  <c r="F13" i="11" s="1"/>
  <c r="F7" i="11"/>
  <c r="K47" i="11"/>
  <c r="K49" i="11" s="1"/>
  <c r="J49" i="11"/>
  <c r="J50" i="11" s="1"/>
  <c r="I46" i="11"/>
  <c r="I50" i="11" s="1"/>
  <c r="I51" i="11" s="1"/>
  <c r="K41" i="11"/>
  <c r="H40" i="11"/>
  <c r="H46" i="11" s="1"/>
  <c r="F46" i="11"/>
  <c r="E47" i="11"/>
  <c r="E49" i="11" s="1"/>
  <c r="E50" i="11" s="1"/>
  <c r="D49" i="11"/>
  <c r="D50" i="11" s="1"/>
  <c r="F15" i="11"/>
  <c r="E18" i="11"/>
  <c r="E34" i="11"/>
  <c r="D34" i="11"/>
  <c r="H47" i="11"/>
  <c r="H49" i="11" s="1"/>
  <c r="F49" i="11"/>
  <c r="K50" i="11" l="1"/>
  <c r="R21" i="18"/>
  <c r="R13" i="18"/>
  <c r="R10" i="18"/>
  <c r="P307" i="7"/>
  <c r="P423" i="7" s="1"/>
  <c r="R11" i="18"/>
  <c r="M22" i="18"/>
  <c r="I6" i="37"/>
  <c r="H6" i="37"/>
  <c r="J6" i="37" s="1"/>
  <c r="H15" i="37"/>
  <c r="H16" i="37" s="1"/>
  <c r="J16" i="37" s="1"/>
  <c r="I15" i="37"/>
  <c r="H7" i="37"/>
  <c r="J7" i="37" s="1"/>
  <c r="G12" i="37"/>
  <c r="I7" i="37"/>
  <c r="E51" i="11"/>
  <c r="Q20" i="18"/>
  <c r="R12" i="18"/>
  <c r="R15" i="18"/>
  <c r="R14" i="18"/>
  <c r="S22" i="18"/>
  <c r="K34" i="11"/>
  <c r="K51" i="11" s="1"/>
  <c r="F24" i="18"/>
  <c r="G14" i="18" s="1"/>
  <c r="S16" i="18"/>
  <c r="N307" i="7"/>
  <c r="N423" i="7" s="1"/>
  <c r="H50" i="11"/>
  <c r="H51" i="11" s="1"/>
  <c r="G11" i="18"/>
  <c r="C28" i="18"/>
  <c r="K24" i="18"/>
  <c r="F20" i="18"/>
  <c r="M20" i="18" s="1"/>
  <c r="G10" i="18"/>
  <c r="I47" i="18"/>
  <c r="J51" i="11"/>
  <c r="F50" i="11"/>
  <c r="F51" i="11" s="1"/>
  <c r="K32" i="18"/>
  <c r="K35" i="18" s="1"/>
  <c r="H35" i="18"/>
  <c r="D51" i="11"/>
  <c r="J47" i="18"/>
  <c r="J45" i="18"/>
  <c r="K45" i="18" s="1"/>
  <c r="K43" i="18"/>
  <c r="O307" i="7"/>
  <c r="O423" i="7" s="1"/>
  <c r="E19" i="11"/>
  <c r="F19" i="11" s="1"/>
  <c r="F19" i="24"/>
  <c r="M423" i="7"/>
  <c r="J15" i="37" l="1"/>
  <c r="J12" i="37"/>
  <c r="S24" i="18"/>
  <c r="T11" i="18" s="1"/>
  <c r="G18" i="37"/>
  <c r="I18" i="37" s="1"/>
  <c r="H12" i="37"/>
  <c r="I12" i="37"/>
  <c r="R24" i="18"/>
  <c r="G15" i="18"/>
  <c r="G13" i="18"/>
  <c r="G19" i="18"/>
  <c r="S20" i="18"/>
  <c r="G21" i="18"/>
  <c r="G12" i="18"/>
  <c r="L19" i="18"/>
  <c r="L11" i="18"/>
  <c r="L21" i="18"/>
  <c r="L14" i="18"/>
  <c r="L10" i="18"/>
  <c r="L15" i="18"/>
  <c r="L13" i="18"/>
  <c r="L12" i="18"/>
  <c r="M24" i="18"/>
  <c r="I36" i="18"/>
  <c r="K38" i="18"/>
  <c r="J36" i="18"/>
  <c r="H47" i="18"/>
  <c r="K47" i="18" s="1"/>
  <c r="M47" i="18" s="1"/>
  <c r="H38" i="18"/>
  <c r="H36" i="18"/>
  <c r="T19" i="18" l="1"/>
  <c r="T10" i="18"/>
  <c r="H18" i="37"/>
  <c r="T21" i="18"/>
  <c r="T12" i="18"/>
  <c r="T13" i="18"/>
  <c r="T15" i="18"/>
  <c r="T14" i="18"/>
  <c r="G24" i="18"/>
  <c r="L24" i="18"/>
  <c r="H48" i="18"/>
  <c r="K36" i="18"/>
  <c r="I48" i="18"/>
  <c r="J48" i="18"/>
  <c r="B6" i="38" l="1"/>
  <c r="J18" i="37"/>
  <c r="T24" i="18"/>
  <c r="K48" i="18"/>
  <c r="E6" i="38" l="1"/>
  <c r="E14" i="38" s="1"/>
  <c r="B14" i="38"/>
  <c r="B15" i="38" l="1"/>
  <c r="B16" i="38" s="1"/>
  <c r="E15" i="38"/>
  <c r="E16" i="38" s="1"/>
</calcChain>
</file>

<file path=xl/sharedStrings.xml><?xml version="1.0" encoding="utf-8"?>
<sst xmlns="http://schemas.openxmlformats.org/spreadsheetml/2006/main" count="1640" uniqueCount="565">
  <si>
    <t>Outcome total</t>
  </si>
  <si>
    <t>Secretariat</t>
  </si>
  <si>
    <t>International Support Functions</t>
  </si>
  <si>
    <t>Out of the sub-total budget for the Output, the division of the budget (in percentage, %) into the support categories:</t>
  </si>
  <si>
    <t>Sub-total</t>
  </si>
  <si>
    <t>7% indirect cost</t>
  </si>
  <si>
    <t>Total programme cost</t>
  </si>
  <si>
    <t>General Operating and Other Direct Costs (Misc.)</t>
  </si>
  <si>
    <t xml:space="preserve"> Transfers and Grants Counterparts</t>
  </si>
  <si>
    <t>Travel</t>
  </si>
  <si>
    <t>Contractual Services</t>
  </si>
  <si>
    <t>Equipment, Vehicles and Furniture including Depreciation</t>
  </si>
  <si>
    <t>Supplies, Commodities, Materials</t>
  </si>
  <si>
    <t>Year 2</t>
  </si>
  <si>
    <t>Year 1</t>
  </si>
  <si>
    <t>Budget categories</t>
  </si>
  <si>
    <t>Q4</t>
  </si>
  <si>
    <t>Q3</t>
  </si>
  <si>
    <t>Q2</t>
  </si>
  <si>
    <t>Q1</t>
  </si>
  <si>
    <t>Planned Activities</t>
  </si>
  <si>
    <t>Expected Outputs</t>
  </si>
  <si>
    <t>Work Plan Year 2</t>
  </si>
  <si>
    <t>Work Plan Year 1</t>
  </si>
  <si>
    <t>Responsible Agency</t>
  </si>
  <si>
    <t>Other direct costs (Misc.)</t>
  </si>
  <si>
    <t xml:space="preserve"> Coordinate the reviews and evaluations of the UN-REDD Programme</t>
  </si>
  <si>
    <t>Supplies, equipment</t>
  </si>
  <si>
    <t>Training of counterparts</t>
  </si>
  <si>
    <t>Provide UN-REDD inputs and ensure coordinated approaches  with other initiatives including UNFCCC, FCPF, FIP, UNFF, ITTO, GEF and other key partners</t>
  </si>
  <si>
    <t>Service contracts</t>
  </si>
  <si>
    <t>Operationalize the Programme Strategy, including developing a UN-REDD Programme Strategic Alignment Plan and amend the MoU (FAO, UNEP, UNDP and MDTF)</t>
  </si>
  <si>
    <t>Personnel include staff, consultancy &amp; travel</t>
  </si>
  <si>
    <t>ALL</t>
  </si>
  <si>
    <t>Facilitate interagency coordination and communications</t>
  </si>
  <si>
    <t xml:space="preserve">Output 8.1:
Overall coordination and strategic planning provided for improved interagency and partner collaboration
</t>
  </si>
  <si>
    <t xml:space="preserve">Outcome 8: Timely and effective UN-REDD Programme Secretariat services provided to the UN-REDD partner countries, Policy Board and the UN agencies </t>
  </si>
  <si>
    <t xml:space="preserve">Annual joint knowledge exchange meetings for regional teams </t>
  </si>
  <si>
    <t xml:space="preserve">Facilitate and support regional discussion forum </t>
  </si>
  <si>
    <t xml:space="preserve">Produce, print and disseminate 1 lessons learned series per region </t>
  </si>
  <si>
    <t xml:space="preserve">UNDP/
Secretariat
</t>
  </si>
  <si>
    <t xml:space="preserve">Convene 3 regional information exchange workshops for teams in partner countries exchange on readiness components </t>
  </si>
  <si>
    <t xml:space="preserve">Output 7.2: (cont'd)
New knowledge sharing products and exchanges facilitated and developed at various operational levels
</t>
  </si>
  <si>
    <t xml:space="preserve">Databases and information management </t>
  </si>
  <si>
    <t>Output 7.1. (cont'd)
Current KM systems improved and new systems developed</t>
  </si>
  <si>
    <t>Outcome 7: 1. UN-REDD Programme knowledge is developed, managed, analyzed and shared to support REDD+ efforts at all levels  (lead/coordinated by the Secretariat)</t>
  </si>
  <si>
    <t>SUPPORT FUNCTIONS: Lead/coordinated by the Secretariat</t>
  </si>
  <si>
    <t>TOTAL WORK AREAS 1-6</t>
  </si>
  <si>
    <t>Coordination with the Territorial Approach to Climate Change (TACC) and low-carbon, climate-resilient development planning</t>
  </si>
  <si>
    <t>Policy advice at national and regional levels</t>
  </si>
  <si>
    <t>UNDP</t>
  </si>
  <si>
    <t>Coordination and support at the national level</t>
  </si>
  <si>
    <t>Output 6.3:
UN-REDD-support is integrated into national development planning and other relevant processes</t>
  </si>
  <si>
    <t xml:space="preserve">Outcome 6: Green economy transformation processes catalyzed as a result of REDD+ strategies and investments </t>
  </si>
  <si>
    <t>Work area 6: REDD+ Catalysation of green economy</t>
  </si>
  <si>
    <r>
      <t xml:space="preserve">Output 5.4: (cont'd) 
Capacity strengthening, technical support and convening on ensuring and safeguarding multiple benefits
</t>
    </r>
    <r>
      <rPr>
        <i/>
        <sz val="12"/>
        <color indexed="8"/>
        <rFont val="Calibri"/>
        <family val="2"/>
      </rPr>
      <t>(social impacts and benefits)</t>
    </r>
    <r>
      <rPr>
        <sz val="12"/>
        <color indexed="8"/>
        <rFont val="Calibri"/>
        <family val="2"/>
      </rPr>
      <t xml:space="preserve">
</t>
    </r>
  </si>
  <si>
    <r>
      <t xml:space="preserve">Output 5.1: (cont'd)
Environmental and Social Principles, criteria and approaches to safeguard the multiple benefits of forests under REDD+ developed
</t>
    </r>
    <r>
      <rPr>
        <i/>
        <sz val="12"/>
        <color indexed="8"/>
        <rFont val="Calibri"/>
        <family val="2"/>
      </rPr>
      <t>(social component)</t>
    </r>
    <r>
      <rPr>
        <sz val="12"/>
        <color indexed="8"/>
        <rFont val="Calibri"/>
        <family val="2"/>
      </rPr>
      <t xml:space="preserve">
</t>
    </r>
    <r>
      <rPr>
        <sz val="12"/>
        <color indexed="10"/>
        <rFont val="Calibri"/>
        <family val="2"/>
      </rPr>
      <t xml:space="preserve">
</t>
    </r>
    <r>
      <rPr>
        <sz val="12"/>
        <color indexed="8"/>
        <rFont val="Calibri"/>
        <family val="2"/>
      </rPr>
      <t xml:space="preserve">
</t>
    </r>
  </si>
  <si>
    <t xml:space="preserve">Outcome 5: Multiple benefits of forests are realized and safeguarded in REDD+ strategies and actions </t>
  </si>
  <si>
    <t>Work area 5: Multiple benefits</t>
  </si>
  <si>
    <t>Support stakeholder consultations for collaboration and information exchange</t>
  </si>
  <si>
    <t>Support targeted training and capacity building of IP, local community and civil society stakeholders on REDD+ and rights (e.g., FPIC, UNDRIP, IP rights, negotiation, legal training etc.</t>
  </si>
  <si>
    <t>Output 4.4: 
Stakeholders are supported to engage in and influence national and international REDD+ processes</t>
  </si>
  <si>
    <t xml:space="preserve">Support the development and application of recourse mechanisms to ensure effective and appropriate grievance and complaint channels </t>
  </si>
  <si>
    <t>Technical support to countries (government; UN-REDD National Programmers and staff; country office staff; IP and civil society representatives) to integrate principles, guidelines and procedures into UN-REDD Programme activities</t>
  </si>
  <si>
    <r>
      <t xml:space="preserve">Output 4.3: 
</t>
    </r>
    <r>
      <rPr>
        <sz val="12"/>
        <color indexed="8"/>
        <rFont val="Calibri"/>
        <family val="2"/>
      </rPr>
      <t xml:space="preserve">Support for the implementation of effective stakeholder engagement practices and guidelines in REDD+ countries
</t>
    </r>
  </si>
  <si>
    <t xml:space="preserve">Develop and disseminate associated tools, methodologies and materials to support the application of these principles, guidelines and procedures </t>
  </si>
  <si>
    <t xml:space="preserve">Develop principles, guidelines and procedures to address stakeholder engagement needs (e.g., FPIC, recourse, traditional knowledge, community based monitoring of carbon/non-carbon etc.) </t>
  </si>
  <si>
    <t xml:space="preserve">Output 4.2:
Principles, guidelines and procedures for stakeholder engagement in national and international REDD+ processes developed through inclusive consultation  
</t>
  </si>
  <si>
    <t>Support IP and CSO Policy Board members to ensure IPs, local communities and civil society are informed of, and their opinions are fed back into, UN-REDD Programme activities, procedures and decisions</t>
  </si>
  <si>
    <t>Coordinate efforts in stakeholder engagement with other multi-lateral REDD+ initiatives and CSO partners</t>
  </si>
  <si>
    <t>Support South-South experience and knowledge exchange for IP, local communities and civil society stakeholders</t>
  </si>
  <si>
    <t xml:space="preserve">Communicate best practice, lessons learned, and UN-REDD Programme positions and progress on IP, local community and civil society participation to stakeholders, partners and donors </t>
  </si>
  <si>
    <t xml:space="preserve">Document, analyze and synthesize best practice and lessons learned in stakeholder engagement </t>
  </si>
  <si>
    <t xml:space="preserve">Support UN-REDD Country Teams/National Programmes to inform IP, local communities and civil society stakeholders on REDD+ </t>
  </si>
  <si>
    <t>Output 4.1:
Indigenous Peoples, local communities, civil society organizations, and other relevant stakeholders are informed of national and international REDD+ processes, policies and activities</t>
  </si>
  <si>
    <t xml:space="preserve">Outcome 4: Indigenous Peoples, local communities, civil society organizations and other stakeholders participate effectively in national and international REDD+ decision making, strategy development and implementation </t>
  </si>
  <si>
    <t>Work area 4: Stakeholder engagement</t>
  </si>
  <si>
    <t>Output 3.5:
Women’s participation in national REDD+ systems</t>
  </si>
  <si>
    <t>Output 3.4:
REDD+ benefits strengthen equity and poverty reduction</t>
  </si>
  <si>
    <t>Output 3.3:
Corruption risks in REDD+</t>
  </si>
  <si>
    <t>Output 3.2:
Transparent, equitable and accountable benefit distribution systems</t>
  </si>
  <si>
    <t>Output 3.1: 
Trusted national fiduciary systems are ready for performance based payments</t>
  </si>
  <si>
    <t>Outcome 3: National systems for transparent, equitable, credible and accountable management of REDD+ funding are strengthened</t>
  </si>
  <si>
    <t>Work area 3: REDD+ payments</t>
  </si>
  <si>
    <t xml:space="preserve"> sub-total</t>
  </si>
  <si>
    <r>
      <t xml:space="preserve">Output 2.3: 
Strengthened systems for addressing and respecting safeguards </t>
    </r>
    <r>
      <rPr>
        <sz val="12"/>
        <color indexed="8"/>
        <rFont val="Calibri"/>
        <family val="2"/>
      </rPr>
      <t xml:space="preserve">
</t>
    </r>
  </si>
  <si>
    <t xml:space="preserve">Output 2.2:
Strengthened frameworks for implementing REDD+ policies and measures
</t>
  </si>
  <si>
    <t>sub-total</t>
  </si>
  <si>
    <t>Technical and policy support to UN-REDD Programme partner countries</t>
  </si>
  <si>
    <t>Knowledge sharing (guidance and South South exchange)</t>
  </si>
  <si>
    <t>Participatory governance assessments for REDD+</t>
  </si>
  <si>
    <t xml:space="preserve">Output 2.1: 
Nationally owned, credible and inclusive systems for collecting governance data and assessments
</t>
  </si>
  <si>
    <t xml:space="preserve">Outcome 2: Credible, inclusive national governance systems are developed for REDD+ implementation </t>
  </si>
  <si>
    <t>Work area 2: National REDD+ governance</t>
  </si>
  <si>
    <t>Outcome Total</t>
  </si>
  <si>
    <t>Capacity development for UN-REDD partner countries preparing National Communications and National GHGs Inventory, incl. coordination with relevant climate change related initiatives on national and regional level</t>
  </si>
  <si>
    <t>Indicative Activities</t>
  </si>
  <si>
    <t>Outcome 1: REDD+ countries have systems and capacities to develop and implement MRV and monitoring</t>
  </si>
  <si>
    <t>Work area 1: MRV and monitoring</t>
  </si>
  <si>
    <t>WORK AREAS 1-6</t>
  </si>
  <si>
    <t>FAO</t>
  </si>
  <si>
    <t>Build critical mass and methodological consistency across countries</t>
  </si>
  <si>
    <t xml:space="preserve">Output 7.1:
Current KM systems improved and new systems developed
</t>
  </si>
  <si>
    <t>TOTAL SUPPORT FUNCTIONS</t>
  </si>
  <si>
    <t>Grand Total</t>
  </si>
  <si>
    <r>
      <rPr>
        <strike/>
        <sz val="12"/>
        <color indexed="8"/>
        <rFont val="Calibri"/>
        <family val="2"/>
      </rPr>
      <t xml:space="preserve">Output 1.2
Education and capacity development </t>
    </r>
    <r>
      <rPr>
        <sz val="12"/>
        <color indexed="10"/>
        <rFont val="Calibri"/>
        <family val="2"/>
      </rPr>
      <t xml:space="preserve">(merged with 1.4) </t>
    </r>
    <r>
      <rPr>
        <sz val="12"/>
        <color indexed="8"/>
        <rFont val="Calibri"/>
        <family val="2"/>
      </rPr>
      <t xml:space="preserve">
</t>
    </r>
  </si>
  <si>
    <t>Output 1.2:
Tools and methods for MRV and monitoring</t>
  </si>
  <si>
    <t>Remote sensing data supply and applications for data processing and analysis</t>
  </si>
  <si>
    <t>Further development of methodologies for national forest inventories and monitoring of REDD+ activities</t>
  </si>
  <si>
    <t xml:space="preserve">Development of tools to support the compilation of National Communications and National GHGs Inventories </t>
  </si>
  <si>
    <t xml:space="preserve">Output 1.2: cont'd 
Tools and methods for MRV and monitoring
</t>
  </si>
  <si>
    <t>UNEP</t>
  </si>
  <si>
    <t xml:space="preserve">Good practice guidance on transparent and accountable institutional, legal and regulatory arrangements </t>
  </si>
  <si>
    <t>Training and tools for REDD+ governance policy reform</t>
  </si>
  <si>
    <t xml:space="preserve">Support to integration of REDD+ strategies into low carbon, climate resilient development planning </t>
  </si>
  <si>
    <t>Practical guidance to support inclusive and consistent systems of information-sharing for safeguards</t>
  </si>
  <si>
    <t xml:space="preserve">Knowledge products  </t>
  </si>
  <si>
    <t>Policy and technical back stopping to UN-REDD partner countries</t>
  </si>
  <si>
    <t xml:space="preserve">Output 2.4: 
Building capacity for effective forest management
</t>
  </si>
  <si>
    <t xml:space="preserve">Output 2.5:  
Improved land tenure for REDD+
</t>
  </si>
  <si>
    <t>Capacity building for fiduciary standards for receiving and disbursement of funds</t>
  </si>
  <si>
    <t>Trainings on budget oversight and monitoring</t>
  </si>
  <si>
    <t>Knowledge, coordination and support to National Programmes</t>
  </si>
  <si>
    <t>Guidance on institutional frameworks for benefit distribution systems</t>
  </si>
  <si>
    <t>Technical and policy support to apply guidance in UN-REDD Programme partner countries</t>
  </si>
  <si>
    <t>Guidance on identifying and prioritizing corruption risks in national contexts</t>
  </si>
  <si>
    <t xml:space="preserve">Training of REDD+ National counterparts  </t>
  </si>
  <si>
    <t>Guidance to Anti-corruption commissions for engagement in REDD+</t>
  </si>
  <si>
    <t xml:space="preserve">Capacity-building and support for CSOs engaged in monitoring corruption in REDD+ activities </t>
  </si>
  <si>
    <t>Guidance for involving local governance institutions in anti corruption activities</t>
  </si>
  <si>
    <t>Guidance and support to legal and regulatory frameworks and instruments  to combat corruption in REDD+</t>
  </si>
  <si>
    <t>Coordination and engagement with Global and Regional anti corruption Processes on REDD+</t>
  </si>
  <si>
    <t>Guidance on REDD+ contribution to inclusive development outcomes and social protection</t>
  </si>
  <si>
    <t>Knowledge products  and regional coordination</t>
  </si>
  <si>
    <t>Policy and technical advice to UN-REDD partner countries</t>
  </si>
  <si>
    <t>Guidance on corruption impacts on women and other vulnerable groups</t>
  </si>
  <si>
    <t>Guidance on gender in BDS</t>
  </si>
  <si>
    <t>Integration of gender issues into existing guidelines for the UN-REDD Programme</t>
  </si>
  <si>
    <t>Expert support to UN-REDD partner countries</t>
  </si>
  <si>
    <t>Support IP, local community and civil society stakeholders’ participation in regional and international REDD+ processes (e.g., CBD, UNFCCC, UNPFII, UN-REDD Programme meetings etc.)</t>
  </si>
  <si>
    <t xml:space="preserve">Output 4.5:
Broader multi-stakeholder processes on key aspects of REDD+ readiness to build consensus and transform economic systems are supported </t>
  </si>
  <si>
    <t>Stakeholder consultation at national level (in conjunction with 3.1 &amp; 3.2) on implications of investment options for REDD+ and scenarios</t>
  </si>
  <si>
    <t>Finalize social safeguard principles, criteria, and indicators, develop complementary framework for assessing magnitude of positive impact on social benefits.</t>
  </si>
  <si>
    <t>Develop toolkit &amp; guidelines for safeguard principles and social benefit impact assessment.</t>
  </si>
  <si>
    <t>Coordinate safeguards and multiple benefits approach with other multi-lateral REDD+ initiatives</t>
  </si>
  <si>
    <t>Develop knowledge products to share lessons learned and good practice with REDD+ countries and partner institutions</t>
  </si>
  <si>
    <r>
      <t>Output 5.2  (cont'd)
Approaches to developing information systems on the ecosystem-based multiple benefits of forests under REDD+</t>
    </r>
    <r>
      <rPr>
        <sz val="12"/>
        <color indexed="8"/>
        <rFont val="Calibri"/>
        <family val="2"/>
      </rPr>
      <t xml:space="preserve">
</t>
    </r>
  </si>
  <si>
    <t xml:space="preserve">Synthesis of lessons learnt about  measurement and monitoring of multiple benefits and other land based activities producing value to REDD+ in pilot countries to create capacity for countries </t>
  </si>
  <si>
    <t xml:space="preserve">Output 5.3:
Tools, methods and guidance to encourage the capture of multiple benefits </t>
  </si>
  <si>
    <t>Land-use planning approaches that incorporate the multiple benefits of forests</t>
  </si>
  <si>
    <t>Case based evidence for the importance of multiple benefits (cases studies: REDD+ in deforestation hotspot and mangrove forests and REDD+)</t>
  </si>
  <si>
    <t>Training workshops for regional/national practitioners to implement safeguard and multiple benefits tools and guidance.</t>
  </si>
  <si>
    <t xml:space="preserve"> Support to national REDD+ multi-stakeholder processes to integrate social principles risk assessment and multiple benefits impact assessment into wide stakeholder engagement and governance capacity building processes</t>
  </si>
  <si>
    <t>Support implementation of safeguard principles and social benefit impact assessment in REDD+ countries</t>
  </si>
  <si>
    <t>Document lessons learned and good practice in ensuring social principles are upheld and multiple benefits are delivered as part of REDD+ programming</t>
  </si>
  <si>
    <t>Output 6.1: Making the case for the catalytic role of REDD+ in a green economy transformation</t>
  </si>
  <si>
    <t>Assembling evidence and insights from existing case studies on transformation in the natural resources sector</t>
  </si>
  <si>
    <t>Expert workshop followed by synthesis report on how to carry out participatory scenario analysis in a REDD+ context using analogous experiences + one outreach workshop and other outreach materials</t>
  </si>
  <si>
    <t xml:space="preserve">Output 6.4: 
Technical support and targeted training to support REDD+ as a catalyst of the green economy </t>
  </si>
  <si>
    <t>Capacity strengthening: training of trainers materials and workshops, university curricula and outreach, etc.</t>
  </si>
  <si>
    <t xml:space="preserve">Gather information on communities of practice </t>
  </si>
  <si>
    <t>Output 7.1: (cont'd)
Current KM systems improved and new systems developed</t>
  </si>
  <si>
    <t>UNEP/
Secretariat</t>
  </si>
  <si>
    <t>Database and website maintenance</t>
  </si>
  <si>
    <t xml:space="preserve">Output 7.2:
New knowledge sharing products and exchanges facilitated and developed at various operational levels
</t>
  </si>
  <si>
    <t xml:space="preserve">FAO/
Secretariat
</t>
  </si>
  <si>
    <t xml:space="preserve">KM support to regional teams </t>
  </si>
  <si>
    <t>Output 7.3: 
Strategic KM products developed and communicated to wider audiences when appropriate to facilitate REDD+ learning and position the Programme as a valuable resource in the REDD+ space</t>
  </si>
  <si>
    <t>Prepare and implement communication and events plan</t>
  </si>
  <si>
    <t>Secretariat/
UNEP</t>
  </si>
  <si>
    <t>Coordinate support and organization of UN-REDD events</t>
  </si>
  <si>
    <t>Coordinate the development and implementation of  a longer-term knowledge management and communications strategy</t>
  </si>
  <si>
    <t xml:space="preserve">Output 7.3: (cont'd)
Strategic KM products developed and communicated to wider audiences when appropriate to facilitate REDD+ learning and position the Programme as a valuable resource in the REDD+ space
</t>
  </si>
  <si>
    <t xml:space="preserve">Effective communication of results and outputs </t>
  </si>
  <si>
    <t>Year 1 (6 mths)</t>
  </si>
  <si>
    <t xml:space="preserve">Output 8.2:
National Programmes coordinated to ensure the effective delivery of the Programme
</t>
  </si>
  <si>
    <t xml:space="preserve">Prepare NP documentation including submission forms for the Policy Board </t>
  </si>
  <si>
    <t>Coordinate and liaise with partner countries of the Programme</t>
  </si>
  <si>
    <t>Coordinate agencies support for NP development, implementation and monitoring, including the internal NP working group</t>
  </si>
  <si>
    <t xml:space="preserve">Coordinate the revision of criteria, forms, templates, submission forms, and the review process (agencies, secretariat and independent technical review) for NPs </t>
  </si>
  <si>
    <t>Develop and help implement the NP implementation guidelines for assessing impact</t>
  </si>
  <si>
    <t xml:space="preserve">Output 8.3:
Global Programme coordinated to ensure the effective delivery of the Programme
</t>
  </si>
  <si>
    <t>Coordinate agencies support to the programme development and implementation</t>
  </si>
  <si>
    <t xml:space="preserve">Coordinate and contribute to the workshops </t>
  </si>
  <si>
    <t xml:space="preserve">Prepare GP documentation including submission forms for the Policy Board </t>
  </si>
  <si>
    <t>Develop and help implement the GP Five Year  Framework Document</t>
  </si>
  <si>
    <t>Facilitate the country needs assessment process</t>
  </si>
  <si>
    <t xml:space="preserve">Output 8.4:
Policy Board has procedures and competencies to effectively make decisions
</t>
  </si>
  <si>
    <t>Prepare documentation and report</t>
  </si>
  <si>
    <t>Liaise with members, observers and co-chairs</t>
  </si>
  <si>
    <t>Coordinate logistics for two Policy Board meetings per year</t>
  </si>
  <si>
    <t>Logistics and travel support to PB members</t>
  </si>
  <si>
    <t xml:space="preserve">Output 8.5:
The UN-REDD Programme is monitored and evaluated and additional resources mobilized towards meeting the five year funding target
</t>
  </si>
  <si>
    <t>Develop Programme budget and work plan</t>
  </si>
  <si>
    <t>Coordinate financial monitoring and evaluation of the programme, including inputs to the annual and semi-annual MDTF reports</t>
  </si>
  <si>
    <t>Develop and implement a result-based monitoring framework for the UN-REDD Programme and monitoring tools including a project tracker</t>
  </si>
  <si>
    <t xml:space="preserve">Coordinate the process of approval and monitoring Tier 2 funding projects  </t>
  </si>
  <si>
    <t>Total Programme cost</t>
  </si>
  <si>
    <t>Resource Allocation and time frame</t>
  </si>
  <si>
    <t>Output 1.1:  
Information and monitoring needs for REDD+</t>
  </si>
  <si>
    <t>Integration of lessons learnt in the REDD+ pilot countries implementing REDD+ monitoring and MRV systems</t>
  </si>
  <si>
    <t>Incorporating REDD+ monitoring requirements with broader monitoring needs for sustainable development</t>
  </si>
  <si>
    <t>Technical advice to support institutional arrangements for  national monitoring systems</t>
  </si>
  <si>
    <r>
      <t>Output 1.3: 
Technical support to country-level implementation</t>
    </r>
    <r>
      <rPr>
        <sz val="12"/>
        <rFont val="Calibri"/>
        <family val="2"/>
      </rPr>
      <t xml:space="preserve"> and capacity development</t>
    </r>
  </si>
  <si>
    <t>National-level institutional capacity development and training</t>
  </si>
  <si>
    <t>National-level methodology development</t>
  </si>
  <si>
    <t>Support to the CD-REDD process to develop the GHG Inventories</t>
  </si>
  <si>
    <t>Training courses in forest and natural resources monitoring</t>
  </si>
  <si>
    <t xml:space="preserve">Output 1.3: cont'd </t>
  </si>
  <si>
    <t>Output 2.1: (cont'd) 
Nationally owned, credible and inclusive systems for collecting governance data and assessments</t>
  </si>
  <si>
    <t>Information systems needs on REDD+ governance safeguards as per 71.d</t>
  </si>
  <si>
    <t>Support to data collection</t>
  </si>
  <si>
    <t>Output 2.2: (cont'd)
Strengthened frameworks for implementing REDD+ policies and measures</t>
  </si>
  <si>
    <t>Guiding documents, consultations and assessment of legal preparedness for REDD+</t>
  </si>
  <si>
    <t>Support to REDD+ through the National Forest Programme Facility (NFP Facility)</t>
  </si>
  <si>
    <t>Consultations to gather lessons learned and share experience</t>
  </si>
  <si>
    <t>Development of land tenure for REDD+ voluntary guides</t>
  </si>
  <si>
    <t>Gather information on communities of practice</t>
  </si>
  <si>
    <t>FAO/
Secretariat</t>
  </si>
  <si>
    <t>Databases and information management</t>
  </si>
  <si>
    <t xml:space="preserve">Resource Allocation </t>
  </si>
  <si>
    <t>Total</t>
  </si>
  <si>
    <t>Staff and other personnel costs</t>
  </si>
  <si>
    <t xml:space="preserve">Output 8.2
Interagency quality assurance for National Programmes provided
</t>
  </si>
  <si>
    <t xml:space="preserve">Output 8.4
Policy Board, Strategic Group and Management Group is operational and effective
</t>
  </si>
  <si>
    <t xml:space="preserve">Output 8.5
Result-based monitoring and evaluation framework implemented
</t>
  </si>
  <si>
    <t xml:space="preserve">Output 8.6
External partnerships enhanced and resource mobilization strengthened  
</t>
  </si>
  <si>
    <t xml:space="preserve">Output 8.3
Interagency quality assurance for the Support to National REDD+ Actions (SNA) provided
</t>
  </si>
  <si>
    <t xml:space="preserve">GRAND TOTAL </t>
  </si>
  <si>
    <t>UNREDD GLOBAL PROGRAMME WORKPLAN : 1 JULY 2011 - 30 JUNE 2013</t>
  </si>
  <si>
    <t xml:space="preserve">Indicative 
Year 3 </t>
  </si>
  <si>
    <t xml:space="preserve">Integrate multiple benefits tracking and monitoring tools into monitoring and information systems (including those related to environmental standards)  </t>
  </si>
  <si>
    <t>Public-private policy dialogue at both international and national levels on mobilizing private REDD investment</t>
  </si>
  <si>
    <t>Tracking tool for private sector engagement (including investments by private financial institutions) in REDD+ based catalysation of green economy</t>
  </si>
  <si>
    <t>Capacity Building</t>
  </si>
  <si>
    <r>
      <t xml:space="preserve">Output 5.1:  
Environmental and Social Principles, criteria and approaches to safeguard the multiple benefits of forests under REDD+ developed
</t>
    </r>
    <r>
      <rPr>
        <i/>
        <sz val="12"/>
        <color indexed="8"/>
        <rFont val="Calibri"/>
        <family val="2"/>
      </rPr>
      <t>(environmental component)</t>
    </r>
  </si>
  <si>
    <t>Tools, methods and guidelines to encourage the capture of multiple benefits and applying relevant safeguards developed and implementation supported</t>
  </si>
  <si>
    <t>National tests in 2 countries</t>
  </si>
  <si>
    <t>Output 5.2: 
Approaches to developing information systems on the ecosystem-based multiple benefits of forests under REDD+</t>
  </si>
  <si>
    <t>Tracker tool (tracking system on flows of multiple benefits)</t>
  </si>
  <si>
    <t>Case studies and comparative analyses of national informations systems for multiple benefits (support to developing &amp; testing of monitoring systems)</t>
  </si>
  <si>
    <t>Approaches to developing information systems on the ecosystem-based multiple benefits of forests under REDD+</t>
  </si>
  <si>
    <t xml:space="preserve">Multiple benefits ‘toolkit’ </t>
  </si>
  <si>
    <r>
      <t xml:space="preserve">Output 5.4:
Capacity strengthening, technical support and convening on ensuring and safeguarding multiple benefits
</t>
    </r>
    <r>
      <rPr>
        <i/>
        <sz val="12"/>
        <color indexed="8"/>
        <rFont val="Calibri"/>
        <family val="2"/>
      </rPr>
      <t xml:space="preserve">(ecosystem based multiple benefits) </t>
    </r>
  </si>
  <si>
    <t>Capacity  building</t>
  </si>
  <si>
    <t>Technical support</t>
  </si>
  <si>
    <t>Convening expertise and lessons learned</t>
  </si>
  <si>
    <t xml:space="preserve">Guides and training materials, including license rights to software where necessary, for key tools, development of interactive web based support platform, other learning &amp; information materials in response to demands </t>
  </si>
  <si>
    <r>
      <t xml:space="preserve">Commissioned papers on bridging key knowledge gaps related to preparing an investment phase that is supportive of a green economy (from thought leaders, country partners and practitioners), </t>
    </r>
    <r>
      <rPr>
        <sz val="12"/>
        <rFont val="Helvetica"/>
        <family val="2"/>
      </rPr>
      <t xml:space="preserve"> annual workshop, related outreach materials in response to demands . </t>
    </r>
  </si>
  <si>
    <t>Output 6.2:
Technical advice in support of investment options for REDD+</t>
  </si>
  <si>
    <t>In depth development of participatory scenario analyses in three countries; 3 regional and 1 global sharing workshop (incl. global synthesis materials)</t>
  </si>
  <si>
    <t>Advisory panel + background studies + annual workshop in 3 countries; regional workshops and outreach to neighboring countries; ross-cutting analysis and synthesis of country work for international audience</t>
  </si>
  <si>
    <t xml:space="preserve">Convening: biannual report and additional workshops </t>
  </si>
  <si>
    <t>Technical backstopping, including backstopping missions to all UN-REDD countries and support to information services</t>
  </si>
  <si>
    <t>-</t>
  </si>
  <si>
    <t>Year 2 (12 mths)</t>
  </si>
  <si>
    <t>Indicative 
Year 3</t>
  </si>
  <si>
    <t xml:space="preserve">
</t>
  </si>
  <si>
    <t>SUMMARY 2013</t>
  </si>
  <si>
    <t>SUMMARY 2014</t>
  </si>
  <si>
    <t>IMPACT: Sufficient capacity is established at all levels for countries to design and implement results-based REDD+ actions and to use their own natural resources in ways that prioritise poverty reduction</t>
  </si>
  <si>
    <t>FUNCTION/
WORK AREA</t>
  </si>
  <si>
    <t>OUTCOME</t>
  </si>
  <si>
    <t>% of total budget</t>
  </si>
  <si>
    <t xml:space="preserve"> </t>
  </si>
  <si>
    <t>WORK AREAS</t>
  </si>
  <si>
    <t>1. MRV and monitoring</t>
  </si>
  <si>
    <r>
      <t>REDD+ countries have systems and capacities to develop and implement MRV and monitoring</t>
    </r>
    <r>
      <rPr>
        <sz val="11"/>
        <color indexed="8"/>
        <rFont val="Calibri"/>
        <family val="2"/>
      </rPr>
      <t xml:space="preserve">  </t>
    </r>
  </si>
  <si>
    <t>2. National REDD+ governance</t>
  </si>
  <si>
    <t>Credible, inclusive national governance systems are developed for REDD+ Implementation</t>
  </si>
  <si>
    <t>3. REDD+ payments</t>
  </si>
  <si>
    <t>National systems for transparent, equitable, credible and accountable management of REDD+ funding are strengthened</t>
  </si>
  <si>
    <t>4.  Stakeholder engagement</t>
  </si>
  <si>
    <t xml:space="preserve">Indigenous Peoples, local communities, civil society organizations and other stakeholders participate effectively in national and international REDD+ decision making, strategy development and implementation </t>
  </si>
  <si>
    <t>5.  Multiple Benefits</t>
  </si>
  <si>
    <t xml:space="preserve">Multiple benefits of forests are realized and safeguarded in REDD+ strategies and actions </t>
  </si>
  <si>
    <t>6. REDD+ catalysation of green economy</t>
  </si>
  <si>
    <t>Green economy transformation processes catalysed as a result of REDD+ strategies and investments</t>
  </si>
  <si>
    <t>UN-REDD Programme knowledge is developed, managed, analyzed and shared to support REDD+ efforts at all levels</t>
  </si>
  <si>
    <t>8. Secretariat services</t>
  </si>
  <si>
    <t xml:space="preserve">Timely and effective UN-REDD Programme Secretariat services provided to the UN-REDD partner countries, Policy Board and the UN agencies 
</t>
  </si>
  <si>
    <t>UN-REDD PROGRAMME SECRETARIAT WORK PLAN AND BUDGET, JULY - OCTOBER 2012</t>
  </si>
  <si>
    <t>July-Oct 2012</t>
  </si>
  <si>
    <t>indirect Support Cost (7%)</t>
  </si>
  <si>
    <t>UNDG BUDGET CATEGORIES</t>
  </si>
  <si>
    <t>Budget Category</t>
  </si>
  <si>
    <t>Amount</t>
  </si>
  <si>
    <t>Personnel</t>
  </si>
  <si>
    <t>Contracts</t>
  </si>
  <si>
    <t>Training of Counterparts</t>
  </si>
  <si>
    <t>Supplies</t>
  </si>
  <si>
    <t>Other direct costs (misc)</t>
  </si>
  <si>
    <t>Subtotal</t>
  </si>
  <si>
    <t>Indirect Support Costs</t>
  </si>
  <si>
    <t>Annex 1: UNDG Harmonized Budget Categories</t>
  </si>
  <si>
    <t>2014(previous)</t>
  </si>
  <si>
    <t>2014
(current)</t>
  </si>
  <si>
    <t>2013
(Current)</t>
  </si>
  <si>
    <t>2013
(Previous)</t>
  </si>
  <si>
    <t>2014
(previous)</t>
  </si>
  <si>
    <t>7a. Knowledge management &amp; dissemination(Agency managed)</t>
  </si>
  <si>
    <t>Increase</t>
  </si>
  <si>
    <t>Decrease</t>
  </si>
  <si>
    <t>Work Areas</t>
  </si>
  <si>
    <t xml:space="preserve">Total </t>
  </si>
  <si>
    <t>Net 
difference</t>
  </si>
  <si>
    <t>Net 
Difference</t>
  </si>
  <si>
    <t>Net 
Diffference</t>
  </si>
  <si>
    <t>Sub-total outcome 1-7</t>
  </si>
  <si>
    <t>Difference
(current-previous)</t>
  </si>
  <si>
    <t>Total 2013 - 2014 increase/(decrease)</t>
  </si>
  <si>
    <r>
      <t>1. REDD+ countries have systems and capacities to develop and implement MRV and monitoring</t>
    </r>
    <r>
      <rPr>
        <sz val="11"/>
        <color indexed="8"/>
        <rFont val="Calibri"/>
        <family val="2"/>
      </rPr>
      <t xml:space="preserve">  </t>
    </r>
  </si>
  <si>
    <t>3. National systems for transparent, equitable, credible and accountable management of REDD+ funding are strengthened</t>
  </si>
  <si>
    <t xml:space="preserve">4. Indigenous Peoples, local communities, civil society organizations and other stakeholders participate effectively in national and international REDD+ decision making, strategy development and implementation </t>
  </si>
  <si>
    <t xml:space="preserve">5. Multiple benefits of forests are realized and safeguarded in REDD+ strategies and actions </t>
  </si>
  <si>
    <t>6. Green economy transformation processes catalysed as a result of REDD+ strategies and investments</t>
  </si>
  <si>
    <t xml:space="preserve">8. Timely and effective UN-REDD Programme Secretariat services provided to the UN-REDD partner countries, Policy Board and the UN agencies 
</t>
  </si>
  <si>
    <t>Categories of Support</t>
  </si>
  <si>
    <t xml:space="preserve">Total for Knowledge Management and Secretariat </t>
  </si>
  <si>
    <t>Sub-total outcome 7-8</t>
  </si>
  <si>
    <t>% Change increase(decrease)</t>
  </si>
  <si>
    <t>KNOWLEDGE MANAGEMENT AND SECRETARIAT SERVICES</t>
  </si>
  <si>
    <t>Secretariat/All</t>
  </si>
  <si>
    <t xml:space="preserve">OVERVIEW: 1 JULY 2011-JUNE 2013  RESOURCE PLANNING </t>
  </si>
  <si>
    <t>Year 3 Indicative</t>
  </si>
  <si>
    <t>Total Year 1 &amp; 2</t>
  </si>
  <si>
    <t>Total 
Year 1-3</t>
  </si>
  <si>
    <t>SUPPORT FUNCTIONS: KNOWLEDGE MANAGEMENT AND SECRETARIAT</t>
  </si>
  <si>
    <t>7. Knowledge management &amp; dissemination</t>
  </si>
  <si>
    <t>Sub-total (excluding Secretariat)</t>
  </si>
  <si>
    <t>INTERNAL INFOMATION, 2 years budget</t>
  </si>
  <si>
    <t>AGENCY ALLOCATION: WORK AREAS 1-6</t>
  </si>
  <si>
    <t>Year</t>
  </si>
  <si>
    <t>Sub-total (work areas 
1-6)</t>
  </si>
  <si>
    <t>old</t>
  </si>
  <si>
    <t xml:space="preserve">reduction </t>
  </si>
  <si>
    <t>AGENCY ALLOCATION:  KM AND SECRETARIAT</t>
  </si>
  <si>
    <t>KM</t>
  </si>
  <si>
    <t xml:space="preserve">Note: secretariat budget is 18 months only as we have funds until end of 2011. In the old budget (which was not the actual budget request) we had presented 2 full years, so the reductions in the overall budget are not comparable.  Note also that activities stemming from PB decisions have been added into the Secretariat budget. </t>
  </si>
  <si>
    <t>difference</t>
  </si>
  <si>
    <t>old budget</t>
  </si>
  <si>
    <t>reduction</t>
  </si>
  <si>
    <t xml:space="preserve"> KNOWLEDGE MANAGEMENT &amp; SECRETARIAT </t>
  </si>
  <si>
    <t>7 Knowledge management &amp; dissemination(Secretariat managed)</t>
  </si>
  <si>
    <t xml:space="preserve">COMPARISON BETWEEN PREVIOUS( 2011 GPFD SUBMISSION)  AND CURRENT SUBMISSIONS FOR THE SNA-GP 2013 -2014 </t>
  </si>
  <si>
    <t>OUTCOMES</t>
  </si>
  <si>
    <t>Country Specific Support</t>
  </si>
  <si>
    <t>7 UN-REDD Programme knowledge is developed, managed, analyzed and shared to support REDD+ efforts at all levels</t>
  </si>
  <si>
    <t>7. Knowledge management &amp; dissemination(Secretariat and Agency managed)</t>
  </si>
  <si>
    <t xml:space="preserve">Output 8.1
Secretariat effectively managed, and overall efficient and effective interagency quality assurance and coordination mechanisms created
</t>
  </si>
  <si>
    <t>YEAR 1
(1 NOVEMBER 2011 - 31 DECEMBER 2012)</t>
  </si>
  <si>
    <t>YEAR 2
(1 JANUARY - 31 DECEMBER 2013)</t>
  </si>
  <si>
    <t>YEAR 3
(1 JANUARY - 31 DECEMBER 2014)</t>
  </si>
  <si>
    <t>KNOWLEDGE MANAGEMENT&amp; SECRETARIAT</t>
  </si>
  <si>
    <t>SUMMARY OF PROGRAMME OUTCOMES/WORK AREAS( 1 NOVEMBER 2011 - 31 DECEMBER 2014)</t>
  </si>
  <si>
    <t>2. Nationally owned, credible, inclusive national governance systems are developed for REDD+ Implementation</t>
  </si>
  <si>
    <t>DEFERRED TO 2015</t>
  </si>
  <si>
    <t>Outcome breakdown by category of support 2013-2014</t>
  </si>
  <si>
    <t>AVERAGE FOR 2013-2014</t>
  </si>
  <si>
    <t>Safeguards are addressed and respected and multiple benefits of REDD+ are realized</t>
  </si>
  <si>
    <t>Green economy transformation and REDD+ strategies and investments are mutually reinforcing</t>
  </si>
  <si>
    <t xml:space="preserve">UN-REDD Programme knowledge is developed, managed, analyzed and shared to support REDD+ efforts at all levels  </t>
  </si>
  <si>
    <t>Grand Total(outcomes 1-8)</t>
  </si>
  <si>
    <t>Amount(US$)</t>
  </si>
  <si>
    <t>Total 
2013 -2014 (US$)</t>
  </si>
  <si>
    <t>Resource Allocation (US$)</t>
  </si>
  <si>
    <t>Output 7.2: 
REDD+ knowledge is continuously generated, adapted and shared in various and innovative formats for learning, advocacy, promotion and capacity development.</t>
  </si>
  <si>
    <t>Total year 1-2</t>
  </si>
  <si>
    <t>Total Year 2-3</t>
  </si>
  <si>
    <t>Private Sector</t>
  </si>
  <si>
    <t>Outcome</t>
  </si>
  <si>
    <t>Output</t>
  </si>
  <si>
    <t>Agency</t>
  </si>
  <si>
    <t>Indicative Activity</t>
  </si>
  <si>
    <t>Indicative Timeline</t>
  </si>
  <si>
    <t>Indicative budget (Q1 -Q4 2014)</t>
  </si>
  <si>
    <t>Indicative budget (Q1 -Q4 2015)</t>
  </si>
  <si>
    <t>Indicative budget (Q1 2014 -Q4 2015) (US$)[2]</t>
  </si>
  <si>
    <t>(US$)</t>
  </si>
  <si>
    <t>Expected Result 1: Awareness raising and behavioral shifts: developing critical information and knowledge on REDD+ risks and opportunities that can improve private sector decision making on REDD+ and catalyze transformational change</t>
  </si>
  <si>
    <t>1. A report examining the economics of REDD+ from a country perspective and building a robust business case for the involvement of the private sector in REDD+ in the selected countries, identifying investment shortfalls and opportunities for the private sector which in turn inform the development of investment plans for REDD+ implementation</t>
  </si>
  <si>
    <t>UNEP and UNDP</t>
  </si>
  <si>
    <t>Conduct an economic assessment of the business case for REDD+ in three countries</t>
  </si>
  <si>
    <t>Convene three national expert workshops to validate results from research</t>
  </si>
  <si>
    <t>Develop the investment plan for implementation for three countries</t>
  </si>
  <si>
    <t>(Hire international and national consultants to assist coordinator)</t>
  </si>
  <si>
    <r>
      <t xml:space="preserve">Result 1 </t>
    </r>
    <r>
      <rPr>
        <i/>
        <sz val="11"/>
        <color theme="1"/>
        <rFont val="Calibri"/>
        <family val="2"/>
        <scheme val="minor"/>
      </rPr>
      <t>(cont)</t>
    </r>
  </si>
  <si>
    <t>2. A methodology to measure hidden ‘value at risk’ related to direct or indirect deforestation exposure in institutional equity investment portfolios based on exposures and holdings in publically listed companies</t>
  </si>
  <si>
    <t>Identification of risk categories related to deforestation in supply chains and development of methodology to measure hidden ‘value at risk’</t>
  </si>
  <si>
    <t>(Partnership agreement with Carbon Tracker)</t>
  </si>
  <si>
    <t>3. Three written briefs and three short (five minute) animated videos in multiple languages explaining  the basics of the private sector and private sector finance for REDD+ professionals</t>
  </si>
  <si>
    <t>Identification of thematic priorities related to private sector in REDD+, research for the development of briefs and videos</t>
  </si>
  <si>
    <t>Engage with local media</t>
  </si>
  <si>
    <t>(Hire international consultant to assist coordinator in the development of briefs, hire animation company for the development of videos)</t>
  </si>
  <si>
    <t>4. Engagement of commodity buyers (traders, manufacturers and retailers) at global level to develop  joint strategies at country level to align supply chains to be deforestation free</t>
  </si>
  <si>
    <t>Subtotal, Result 1</t>
  </si>
  <si>
    <t>Expected Result 2: Policy and regulation: formulate, advance, and support the installment of the policy, regulatory and institutional frameworks and enabling conditions required to effectively engage private sector productive and financial supply chains in REDD+</t>
  </si>
  <si>
    <t>5. A legal, economic and financial analysis of the broad regulatory framework, fiscal policy, subsidies/sanctions and tax code selected countries in the context of REDD+ with a specific focus on the impacts on at least one relevant ‘forest-risk’ commodity supply chain per country.</t>
  </si>
  <si>
    <t>UNEp</t>
  </si>
  <si>
    <t>Analysis of the regulatory framework and fiscal policies to understand the extent to which they are compatible with REDD+</t>
  </si>
  <si>
    <t>(Hire three national analysts/consultants to assist coordinator in in-country legal analysis)</t>
  </si>
  <si>
    <r>
      <t xml:space="preserve">Result 2 </t>
    </r>
    <r>
      <rPr>
        <i/>
        <sz val="11"/>
        <color theme="1"/>
        <rFont val="Calibri"/>
        <family val="2"/>
        <scheme val="minor"/>
      </rPr>
      <t>(cont)</t>
    </r>
  </si>
  <si>
    <t>6. National Commodity Platforms within Ministries of Agriculture established and operational, with stakeholders from the supply chains convened and connecting to UN REDD activities to discuss, plan and collaborate to reduce deforestation from productive supply chains</t>
  </si>
  <si>
    <t>Setting up National Commodity Platforms and specific task forces focused on deforestation within them</t>
  </si>
  <si>
    <t>7. Strengthened policy framework and land use planning to limit targeted agricultural commodity expansion into forests</t>
  </si>
  <si>
    <t>8. Strengthened national agricultural extension systems of Ministry of Agriculture to train producers to produce sustainably and not deforest</t>
  </si>
  <si>
    <t>Work within government agricultural extension agencies to expand their focus beyond conventional agriculture practices for the targeted commodities to promote GAP in priority landscapes at the agricultural frontier</t>
  </si>
  <si>
    <t>Connecting and coordinating private sector extension officers from traders, exporters and buyers with Ministry of Agriculture extension services to provide farmers with more efficient public-private extension services</t>
  </si>
  <si>
    <t>9. Increased economic incentives for producers to reduce deforestation – To complement the land use planning and agricultural training by working with the relevant institutions to provide an array of economic incentives to farmers to reduce their interest to expand into forested areas.</t>
  </si>
  <si>
    <t>Development of an options assessment of possible incentives to reduce deforestation for each of the selected countries</t>
  </si>
  <si>
    <t>10. A series of briefings analyzing how public finance mechanisms, such as the GCF can be designed, set up, and operated to effectively support REDD+ activities and providing recommendations based on input from private finance institutions</t>
  </si>
  <si>
    <t>Convene at least three global high-level workshops</t>
  </si>
  <si>
    <t>Subtotal, Result 2</t>
  </si>
  <si>
    <t>Expected Result 3: Capital mobilization: supports the mobilization of private capital along productive supply chains by improving the risk-return profiles of key REDD+ related activities and developing investment instruments that allow investors to reduce the ‘forest footprint’ of their investments.</t>
  </si>
  <si>
    <t>11. An analysis and implementation plan for scaling up long term financing (&gt;1 year) to agricultural smallholders in at least three UN-REDD Programme countries including an assessment of the gender dimensions of the implementation plan</t>
  </si>
  <si>
    <t xml:space="preserve">Development of options assessment for the creation of a finance facility </t>
  </si>
  <si>
    <t>(Hire international consultant)</t>
  </si>
  <si>
    <r>
      <t xml:space="preserve">Result 3 </t>
    </r>
    <r>
      <rPr>
        <i/>
        <sz val="11"/>
        <color theme="1"/>
        <rFont val="Calibri"/>
        <family val="2"/>
        <scheme val="minor"/>
      </rPr>
      <t>(cont)</t>
    </r>
  </si>
  <si>
    <t>12. Feasibility study examining the application of the Social Impact Bond (SIB) model to REDD+ and forest landscapes (an ‘Environmental Impact Bond’ or EIB). The study will explore the relevance of the model to environmental finance, suggest eligibility principles and criteria and use diverse case studies to explore different potential revenue streams and structures.</t>
  </si>
  <si>
    <t>Analysis of feasibility of using SIB for REDD+ and forest landscapes</t>
  </si>
  <si>
    <t>13. Three ‘zero net deforestation’ equity indexes that track commonly used, mainstream indexes, with a considerably smaller ‘forest footprint’.</t>
  </si>
  <si>
    <t>Development of methodology for constructing the indexes</t>
  </si>
  <si>
    <t>Subtotal, Result 3</t>
  </si>
  <si>
    <t>Subtotal, Results 1-3</t>
  </si>
  <si>
    <t>Indirect support costs (7%)</t>
  </si>
  <si>
    <t>TOTAL</t>
  </si>
  <si>
    <t>Output 1+11</t>
  </si>
  <si>
    <t>Secretariat/FAO</t>
  </si>
  <si>
    <t>Budget Categories</t>
  </si>
  <si>
    <t>Total Programme costs</t>
  </si>
  <si>
    <t>indirect Support costs</t>
  </si>
  <si>
    <t>FAO, Secretariat(UNDP), UNEP</t>
  </si>
  <si>
    <t>secretariat(UNDP)</t>
  </si>
  <si>
    <t>Secretariat(All)</t>
  </si>
  <si>
    <t>Country-level capacities to implement monitoring and MRV functions are developed.</t>
  </si>
  <si>
    <t>National implementation of REDD+ readiness strengthened through National Programme Support</t>
  </si>
  <si>
    <t xml:space="preserve">Policies and measures related to sustainable forest management are identified and promoted at national level.  </t>
  </si>
  <si>
    <t>Institutional capacity for land tenure (with a view to also address drivers of deforestation and forest degradation) is strengthened</t>
  </si>
  <si>
    <t>2) Output 2.2</t>
  </si>
  <si>
    <t>1) Output 1.2</t>
  </si>
  <si>
    <t>3) Output 2.5</t>
  </si>
  <si>
    <t>4) Output 2.7</t>
  </si>
  <si>
    <t>5) Output 2.8</t>
  </si>
  <si>
    <t>REDD+ strategies are gender sensitive and women participate effectively in national REDD+ systems</t>
  </si>
  <si>
    <t>6) Output  4.3</t>
  </si>
  <si>
    <t>Implementation of effective stakeholder engagement, practices and guidelines supported in REDD+ countries</t>
  </si>
  <si>
    <t>7) Ouput 5.2</t>
  </si>
  <si>
    <t>Countries make use of support to develop approaches to address and respect safeguards</t>
  </si>
  <si>
    <t>Countries make use of support to provide information on how safeguards are addressed and respected.</t>
  </si>
  <si>
    <t>8) Output 5.3</t>
  </si>
  <si>
    <t>Countries develop investment options and strategies for REDD+, with technical advice provided.</t>
  </si>
  <si>
    <t>9) Output 6.2</t>
  </si>
  <si>
    <r>
      <t>Output 7.1. 
 Knowledge  management (KM) resources and systems developed and improved</t>
    </r>
    <r>
      <rPr>
        <vertAlign val="superscript"/>
        <sz val="12"/>
        <color theme="1"/>
        <rFont val="Calibri"/>
        <family val="2"/>
        <scheme val="minor"/>
      </rPr>
      <t>10)</t>
    </r>
    <r>
      <rPr>
        <sz val="12"/>
        <color theme="1"/>
        <rFont val="Calibri"/>
        <family val="2"/>
        <scheme val="minor"/>
      </rPr>
      <t xml:space="preserve">
</t>
    </r>
  </si>
  <si>
    <t xml:space="preserve">10) Output 7.1 </t>
  </si>
  <si>
    <t>Knowledge management (KM) resources and systems are developed and improved</t>
  </si>
  <si>
    <t>11) Output 7.2</t>
  </si>
  <si>
    <t>10) Output 6.3</t>
  </si>
  <si>
    <t>Countries make use of technical advice and support to develop transition strategies for addressing drivers of deforestation and forest degradation in the context of green economy</t>
  </si>
  <si>
    <t>REDD+ knowledge is continuously generated, adapted and shared in various and innovative formats for learning, advocacy, promotion and capacity development</t>
  </si>
  <si>
    <t>Updated text as per revision of the SNA Monitoring Framework 2013-2014</t>
  </si>
  <si>
    <t>3. *National systems for transparent, equitable, credible and accountable management of REDD+ funding are strengthened</t>
  </si>
  <si>
    <t>5. Safeguards are addressed and respected and multiple benefits of REDD+ are realized</t>
  </si>
  <si>
    <t>6. Green economy transformation and REDD+ strategies and investments are mutually reinforcing</t>
  </si>
  <si>
    <t>YEAR 2
(1 January - 31 December 2013)</t>
  </si>
  <si>
    <t>Revised in 2013</t>
  </si>
  <si>
    <t>Total revised Year 2 Budget</t>
  </si>
  <si>
    <t>% increase</t>
  </si>
  <si>
    <t>Year 3
(1 January - 31 December 2014)</t>
  </si>
  <si>
    <t>Proposed revision of Year 2 Budget</t>
  </si>
  <si>
    <t>Total revised Year 3 budget</t>
  </si>
  <si>
    <t>2. Nationally owned credible, inclusive national governance systems are developed for REDD+ Implementation</t>
  </si>
  <si>
    <t>Total Outcome 1-6</t>
  </si>
  <si>
    <t xml:space="preserve">7. UN-REDD Programme knowledge is developed, managed, analyzed and shared to support REDD+ efforts at all levels  </t>
  </si>
  <si>
    <t>Total Outcome 7 - 8</t>
  </si>
  <si>
    <t xml:space="preserve">Total revised budget
2013 -2014 </t>
  </si>
  <si>
    <t xml:space="preserve"> Comparison: 2013 - 2014 budget review excercise and 2013 - 2014 budget revisions (US$)</t>
  </si>
  <si>
    <t>Breakdown by category of support by outcome for this Revision</t>
  </si>
  <si>
    <t>Proposed 2014 Budget Revision</t>
  </si>
  <si>
    <t>7.1.1 Regularly update and improve the UN-REDD Programme website and other external online platforms</t>
  </si>
  <si>
    <t>7.1.2 Regularly update and improve the UN-REDD Programme online workspace</t>
  </si>
  <si>
    <t xml:space="preserve">7.1.4 Develop and implement corporate-level knowledge management strategy </t>
  </si>
  <si>
    <t>7.1.6 Undertake IT function needs assessment (New activity)</t>
  </si>
  <si>
    <t xml:space="preserve">7.2.1 Produce and disseminate technical knowledge sharing publications and resources, targeted at partner countries and REDD+ practitioners (i.e. thematic brochures, fact sheets, lessons learned booklets, policy briefs, videos, e-learning modules, online training and tool kits, etc) </t>
  </si>
  <si>
    <t>7.2.2 Produce and disseminate corporate communications resources, for wide external target audiences (i.e. "Year in Review" reports, success stories, newsletters, fact sheets, testimonials, videos, official announcements, Op/ed articles, etc)</t>
  </si>
  <si>
    <t>7.2.3 Convene international, regional and national-level knowledge sharing and promotional events (face-to-face and online) on REDD+ readiness and implementation components</t>
  </si>
  <si>
    <t xml:space="preserve">7.2.5 Respond in a timely manner to internal and external information requests </t>
  </si>
  <si>
    <t>7.2.6 Develop national knowledge management and capacity development plans with one country per region  (New activity)</t>
  </si>
  <si>
    <t>7.2.7 Build lessons learned database, hold 3 regional knowledge exchange events and document lessons learned at national level to systematically capture, share and apply lessons learned from country experience on priority topics for REDD+ readiness and implementation (New activity)</t>
  </si>
  <si>
    <t>7.2.8 Assess country knowledge needs, and revise knowledge product development processes, resource library and product translation and establish communities of practice to meet country needs  (New activity)</t>
  </si>
  <si>
    <t xml:space="preserve">7.2.9 Develop at least 3 thought pieces on cutting edge topics of relevance to REDD+, consultations with countries through regional and global meetings and virtual tools and dissemination of results (New activity)
</t>
  </si>
  <si>
    <t>7.2.10 Review and update knowledge products to support National Programme development process (New activity)</t>
  </si>
  <si>
    <t>Output 7.3: Design, develop and deliver a REDD+ Academy with associated resources and tools for REDD+ capacity development (New output)</t>
  </si>
  <si>
    <t>7.3.1 Conduct  three regional assessments of capacity development needs and design the REDD+ Academy Framework (New activity)</t>
  </si>
  <si>
    <t>7.3.3 Deliver the first REDD+ Academy session  (New activity)</t>
  </si>
  <si>
    <t>7.3.2 Coordinate and develop Partnership agreements, curriculum and materials for REDD+ Academy (New activity)</t>
  </si>
  <si>
    <t>8.1.1 Review of the UN-REDD Programme MoU</t>
  </si>
  <si>
    <t xml:space="preserve">8.1.2 Further revision of the Secretariat ToRs  </t>
  </si>
  <si>
    <t>8.1.3 Plan and prepare the UN-REDD Programme work plan and budget</t>
  </si>
  <si>
    <t>8.1.4 Organize one Programme retreat</t>
  </si>
  <si>
    <t>8.1.5 Implement and facilitate recommendations of internal review</t>
  </si>
  <si>
    <t>8.1.6 Facilitate Interagency inputs with Programme wide impacts</t>
  </si>
  <si>
    <t>8.1.7 Provide Secretariat services to the agencies and the Policy Board</t>
  </si>
  <si>
    <t>8.1.8 Develop an internal cooperate database system for linkages of Secretariat sources of records, including Targeted Support.</t>
  </si>
  <si>
    <t>8.1.9 Undertake an external Evaluation of the Programme</t>
  </si>
  <si>
    <t>8.1.10 Undertake a review of the Programme Strategy</t>
  </si>
  <si>
    <t>8.1.12 Development of the Post 2015 Strategy with a robust multi-stakeholder process (New activity)</t>
  </si>
  <si>
    <t>8.4.1 Prepare for and host Two Policy Boards meetings per year</t>
  </si>
  <si>
    <t>8.4.2 Organize one joint meeting with the FCPF</t>
  </si>
  <si>
    <t>8.4.3 Finalize the review of the Policy Board structure</t>
  </si>
  <si>
    <t>8.4.4 Coordinate Intercessional communications and decisions to the PB</t>
  </si>
  <si>
    <t xml:space="preserve">8.4.6 Convene CG and SDG meetings
</t>
  </si>
  <si>
    <t>8.4.7 Prepare progress reports to the SG</t>
  </si>
  <si>
    <t>8.5.1 Result-based monitoring framework for the UN-REDD Programme operational</t>
  </si>
  <si>
    <t>8.5.2 Result-based monitoring framework for the UN-REDD Programme operational</t>
  </si>
  <si>
    <t>8.5.3 Develop interagency annual work plan and monitoring framework for the SNA</t>
  </si>
  <si>
    <t>8.5.4 Develop registry of existing Tier 2 activities</t>
  </si>
  <si>
    <t>8.5.5 Coordinate the evaluation of  closing NPs</t>
  </si>
  <si>
    <t xml:space="preserve">8.5.6 Assess current tools for collection of agencies' reporting inputs and develop new efficient tools, including progress monitoring tools.  </t>
  </si>
  <si>
    <t>8.5.7 Training and follow up for Programme staff and partenrs to ensure implementation of RBM across the UN-REDD Programme (New activity)</t>
  </si>
  <si>
    <t>8.5.8 Assess and develop tools for collect agencies' reporting inputs and for monitoring the results of the Programme at the various levels, including impact level (New activity)</t>
  </si>
  <si>
    <t>8.6.1 Convene Joint meetings with other multilateral initiatives</t>
  </si>
  <si>
    <t>8.6.2 Coordinate approaches with other multi-lateral and bilateral REDD initiatives</t>
  </si>
  <si>
    <t>8.6.3 Execute fundraising activities and plans</t>
  </si>
  <si>
    <t xml:space="preserve">Output 8.7
 Secretariat effectively provides for country leadership towards more integrated and better coordinated programmes and readiness activities (New Ouput)
</t>
  </si>
  <si>
    <t>8.7.1 Upon request from countries support country needs assessments covering SNA work areas and for up to 12 countries (New Activity)</t>
  </si>
  <si>
    <t>8.7.2 Share and disseminate results from needs assessments with UN-REDD Policy Board and UN-REDD participating agencies  (New Activity)</t>
  </si>
  <si>
    <t xml:space="preserve">8.7.3 Follow up on actions taken at country level and on further support after conclusion of needs assessment and consolidate results achieved  (New Activity) </t>
  </si>
  <si>
    <t>8.4.5 Coordinate  PB working groups</t>
  </si>
  <si>
    <r>
      <t xml:space="preserve">7.1.3 Develop internal templates and database systems, as needed, </t>
    </r>
    <r>
      <rPr>
        <sz val="12"/>
        <color theme="6" tint="-0.249977111117893"/>
        <rFont val="Calibri"/>
        <family val="2"/>
        <scheme val="minor"/>
      </rPr>
      <t>including database of experts (Expanded existing activity)</t>
    </r>
  </si>
  <si>
    <r>
      <t xml:space="preserve">7.1.5 Provide knowledge management support to regional teams </t>
    </r>
    <r>
      <rPr>
        <sz val="12"/>
        <color theme="6"/>
        <rFont val="Calibri"/>
        <family val="2"/>
        <scheme val="minor"/>
      </rPr>
      <t>and national teams (Expanded existing activity)</t>
    </r>
  </si>
  <si>
    <r>
      <t>7.1.5 Provide knowledge management support to regional team</t>
    </r>
    <r>
      <rPr>
        <sz val="12"/>
        <color theme="6"/>
        <rFont val="Calibri"/>
        <family val="2"/>
        <scheme val="minor"/>
      </rPr>
      <t>s and national teams (Expanded existing activity)</t>
    </r>
  </si>
  <si>
    <r>
      <t>7.2.4 Provide external communications support to regional</t>
    </r>
    <r>
      <rPr>
        <sz val="12"/>
        <color rgb="FF00B050"/>
        <rFont val="Calibri"/>
        <family val="2"/>
        <scheme val="minor"/>
      </rPr>
      <t xml:space="preserve"> </t>
    </r>
    <r>
      <rPr>
        <sz val="12"/>
        <color theme="6"/>
        <rFont val="Calibri"/>
        <family val="2"/>
        <scheme val="minor"/>
      </rPr>
      <t>and national teams (Expanded existing activity)</t>
    </r>
  </si>
  <si>
    <t>Average</t>
  </si>
  <si>
    <t>Indirect support costs</t>
  </si>
  <si>
    <t>Approved 2012</t>
  </si>
  <si>
    <t>Budget Revision Summary by Agency</t>
  </si>
  <si>
    <t>8.2.1 Coordinate inter agency support for development, implementation and closure of  National Programme ending 2013</t>
  </si>
  <si>
    <t>8.2.2 Prepare Policy Board documentation for National Programmes</t>
  </si>
  <si>
    <t>General Operating and Other Direct Costs</t>
  </si>
  <si>
    <t>8.2.3 Develop and implement guidelines and tools for improved delivery of National Programme delivery</t>
  </si>
  <si>
    <t>8.2.4 Respond to queries from partner countries and NP teams</t>
  </si>
  <si>
    <t>8.2.5 Coordinate the Integration of methods, tools and guidelines from the SNA  into National Programmes</t>
  </si>
  <si>
    <t>8.2.5 Gather lessons and experience from National Programmes gathered to inform the Global Programme</t>
  </si>
  <si>
    <t>8.2.6 Convene and facilitate the National Programme Working Group meetings</t>
  </si>
  <si>
    <t>8.3.1  Review the SNA Framework document (2011-2015) and associated budget</t>
  </si>
  <si>
    <t>8.3.2 Process and monitor requests for Targeted Support and facilitate inter-agency coordination of requests being developed.</t>
  </si>
  <si>
    <t>8.3.3 Coordinate the closure of SNA - Global Programme 2009-11.</t>
  </si>
  <si>
    <t>8.3.4 Delivery of SNA coordinated.</t>
  </si>
  <si>
    <t>8.3.5 Coordinate thematic Global Programme working groups established by the Policy Board.</t>
  </si>
  <si>
    <t>8.3.6 Ensure coordination of Global Programme country level activities with National  Programmes</t>
  </si>
  <si>
    <t xml:space="preserve">
8.3.7 Convene and facilitate thematic meetings and temporary established Working Groups/Action Teams.
</t>
  </si>
  <si>
    <t>8.3.8 Ensure follow-up on the UN-REDD/FCPF Joint response to the Country Needs Assessment undertaken in 2012</t>
  </si>
  <si>
    <t>8.3.9 Prepare Policy Board Documentation and presentations for the SNA.</t>
  </si>
  <si>
    <t>PRORITIES/MILESTONES - 2014 (all months in 2014)</t>
  </si>
  <si>
    <t xml:space="preserve">Workplan with each of the three regions to deliver KM at country and regional level and funds transferred to region to implement by May 2014.                                                                             REDD+ Academy coordinated by UNEP by December </t>
  </si>
  <si>
    <t xml:space="preserve">1. Scope defined and procedures for access defined for CNA in February.  
2. Incoming requests and transfers of funds to agencies handled by June.  
3. Template defined for collecting information on results from the CNA in June. 
4. Results are consolidated in November. 
5. Short report on concrete results of the CNA produced in November
</t>
  </si>
  <si>
    <t xml:space="preserve">1. Results based M&amp;E framework implemented and reported at PB12. This includes assessment of draft results and measurement of programme progress using the RMB.  
2. Updated monitoring framework for 2014 and 2015 by October.  
3. Information and tracking system for NPs, SNA-TS and Tier 2 developed by July. 
4. A reporting tool developed by July.  
5. Monitoring of SNA implementation plan, June, Sept and November. 
6. 2013 Annual Report timeline available in February and semi-annual update timeline in August. Annual Report 2013 finalised in May and Semi Annual Update 2014 in October.
</t>
  </si>
  <si>
    <t xml:space="preserve">Revision: SUPPORT TO NATIONAL REDD+ ACTION-GLOBAL PROGRAMME: Results Framework, Secretariat Work Plan for 2014 </t>
  </si>
  <si>
    <t xml:space="preserve">1. NP Submissions:  3 prior to each PB (May / October) Annual reports (17 prior to each PB + summary). 
2.  Independent technical review (3). Submission forms (3). Selection process for new NPs – 6 leading into 2015. 
3. Delivery analysis – prior to PB.   
4. Portfolio management Revision of the handbook (mid-year). 
5. Dashboard proposal. (May for PB12). 
6. Bottleneck analysis completed – LAC + Completion (May PB12). 
7. Development of flow charts (April). 
8. NPWG – support mission LAC (March).  NPWG – Support mission (TBD).   
9. Tier 2 Vietnam Tier 2 EG meeting – November. 
10. DRC Tier 2 / Steering Committee meeting TBD. 
11. Quality Assurance Standards for Tier 2 – Q3.  
12.  East Africa Illegal Timber: Preparation of agreement and prodoc – Q 1 (requires MOU). Inception workshop Illegal Timber – Q 1. Annual report (December).     
13. Audit (FAO/UNDP) Throughout the year.      
14. Evaluations: Final evaluation DRC – Q 2. Management response DRC – Q 3. Final evaluation Philippines + Solomon Islands (compound)  - Q2. Management response Philippines + Solomon Islands – Q 3.   
15. Knowledge Management: Learning exchanges (3) – One per quarter from Q 2. 
16. Establishing lessons library, roster of experts and experience notes (continuous).       
17. Ad-hoc and trouble shooting: Myanmar – set up of large TS and transition to long-term support (continuous). Panama – risk monitoring
</t>
  </si>
  <si>
    <t xml:space="preserve">1. Internal KM working group established with TOR and workplan by March.                                                                                                                                                                                                             2. Internal guidelines for development and approval of knowledge products by April. 
3. KM and Communications training/workshop for UN-REDD staff by May 2014. 
4. Workspace fully upgraded by June 2014. 
5. Website platform upgrade by June 2014 and website content upgrade by August.
</t>
  </si>
  <si>
    <t xml:space="preserve">1. Communication strategy developed and implemented (this activity had been planned for end of 2013 so that implementation could start immediately in 2014, but delays with the recruitment of the P4 Comss at the Secretariat have affected this  plan). 
2. Calendar of global/regional/country events and products for the year by March. 
3. Joint FCPF/UN-REDD KM day at PB 12 and 13 in June and November respectively. 
4. Country knowledge needs assessment by April 2014. 
5. Lessons learned tool created by June 2014. 
6. Best practice knowledge management and communications toolkit created by June. Communities of Practice established by June. 
7. Knowledge products package for work areas created by August. 
8. Development of lessons learned summaries by December.
Output 7.3 (“Design, develop and deliver a REDD+ Academy with associated resources and tools for REDD+ capacity development”),  is lead by UNEP 
(The actual follow up on the delivery refers to Secretariat’s Output  8.3 - funded under SNA)
</t>
  </si>
  <si>
    <t xml:space="preserve">1. Secretariat internal review conducted and road map developed.  
2. MoU Revised and a new one ready depending on Road Map with review and clearance by MG/SG and PB.  
3. SNA 2015 delivered by June. 
4. UN-REDD Programme Retreat held in October [MG TO DISCUSS AND AGREE]. 
5. For the Secretariat, Retreat held in January - Clear division of labour, TOR, organogram and procurement plan to enable delivery of effective secretariat   services; effective internal communication and work life balance.  
6. A management response to the external evaluation coordinated and delivered in June.  Discussed and approved by July and presented at PB12. 
7.  Internal discussion paper in March for the post-2015 Strategy.
8. Information note prepared and discussed on the post-2015 strategy in June/July. 
9. Coordination of inputs from partners to the design of the Strategy and Draft Strategy examined in December.
</t>
  </si>
  <si>
    <t xml:space="preserve">1. Strategy for engagement of key partners (such as WB, FCPF, BioCF and FIP, GEF, GCF and UNFCCC, BINGOs, private sector, etc) developped by May. 
2. Partnerships on critical REDD+ agenda consolidated, but first undertaking a stocktaking and then developing an engagement strategy with key messages and priorities. 
3. Resource mobilisation discussion paper delivered in February, assessment paper developed, visits to key capitals between February and June   
4. RM strategy for post 2015 by November  
5. Support to SG climate summit. 
</t>
  </si>
  <si>
    <t xml:space="preserve">1. Policy Boards 12 and 13 delivered. 
2. Workplan for 2015 ready and Priorities for PB12  by April. 
3. Working Group response consolidated by Feb, Updated RoP and guidance note published in February. 
4. Finalise the execution of the PB review by June 2014. 
5. PB11 report finalised in February, rotation finalised in April and new members begin in July. 
6. SG Annual workplan for feedback from both  SG and MG in February, SG meeting in June and October. 
7. Review of terms of reference for MG, SG and Secretariat and recommendations made for change by xx. 
8. MG annual workplan by February, quarter plans developed and MG annual workplan for 2015 done in December. 
9. MG Retreat in February and  other meetings held in March, June, October and November.
</t>
  </si>
  <si>
    <t xml:space="preserve">1. Coordinate SNA budget and workplan 2014 and 2015 (Detailed milestones shared separately)
2. Follow up on implementation of 2014 work plan in June, September and November. 
3. If needed, circulate SNA project (framework) document for agency signature in 2014. 
4. Process, monitor and coordinate TS requests and update information on website and workspace.  
5.  Produce regular management updates on the implementation for quality assurance for SNA.  Develop format and share for comments by April. 
6. Produce tool for collecting SNA information on relevant events and product implemented - June.
7. Hold weekly meetings of the SNA-GPCG , and quarterly conference calls with the SNA-GPCG  for REDD+ Academy, Tenure, CNAs and KM Strategy in March, June, September and November. 
8. Plan, invite, produce minutes of thematic SNA working groups and action teams.
9. Communicate targeted support requests for safeguards support and other safeguards related matters to the Safeguards Coord Group for review and consolidate inputs.  
10. Produce a tracking table of internal safeguards agreements and actions and external safeguards actions in countries (latter recently developed).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</si>
</sst>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_-* #,##0.00_-;\-* #,##0.00_-;_-* &quot;-&quot;??_-;_-@_-"/>
    <numFmt numFmtId="165" formatCode="_(* #,##0_);_(* \(#,##0\);_(* &quot;-&quot;_);_(@_)"/>
    <numFmt numFmtId="166" formatCode="_(&quot;$&quot;* #,##0.00_);_(&quot;$&quot;* \(#,##0.00\);_(&quot;$&quot;* &quot;-&quot;??_);_(@_)"/>
    <numFmt numFmtId="167" formatCode="_(* #,##0.00_);_(* \(#,##0.00\);_(* &quot;-&quot;??_);_(@_)"/>
    <numFmt numFmtId="168" formatCode="_(* #,##0_);_(* \(#,##0\);_(* &quot;-&quot;??_);_(@_)"/>
    <numFmt numFmtId="169" formatCode="_-* #,##0_-;\-* #,##0_-;_-* &quot;-&quot;??_-;_-@_-"/>
    <numFmt numFmtId="170" formatCode="_ * #,##0_ ;_ * \-#,##0_ ;_ * &quot;-&quot;??_ ;_ @_ "/>
    <numFmt numFmtId="171" formatCode="0.0%"/>
  </numFmts>
  <fonts count="70" x14ac:knownFonts="1">
    <font>
      <sz val="11"/>
      <color theme="1"/>
      <name val="Calibri"/>
      <family val="2"/>
      <scheme val="minor"/>
    </font>
    <font>
      <sz val="10"/>
      <name val="Arial"/>
      <family val="2"/>
    </font>
    <font>
      <sz val="12"/>
      <name val="Calibri"/>
      <family val="2"/>
    </font>
    <font>
      <sz val="12"/>
      <color indexed="8"/>
      <name val="Calibri"/>
      <family val="2"/>
    </font>
    <font>
      <sz val="12"/>
      <color indexed="8"/>
      <name val="Calibri"/>
      <family val="2"/>
    </font>
    <font>
      <b/>
      <sz val="12"/>
      <color indexed="8"/>
      <name val="Calibri"/>
      <family val="2"/>
    </font>
    <font>
      <sz val="12"/>
      <name val="Calibri"/>
      <family val="2"/>
    </font>
    <font>
      <sz val="11"/>
      <color indexed="8"/>
      <name val="Calibri"/>
      <family val="2"/>
    </font>
    <font>
      <i/>
      <sz val="12"/>
      <color indexed="8"/>
      <name val="Calibri"/>
      <family val="2"/>
    </font>
    <font>
      <sz val="12"/>
      <color indexed="10"/>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trike/>
      <sz val="12"/>
      <color indexed="8"/>
      <name val="Calibri"/>
      <family val="2"/>
    </font>
    <font>
      <sz val="12"/>
      <name val="Helvetica"/>
      <family val="2"/>
    </font>
    <font>
      <sz val="11"/>
      <name val="Calibri"/>
      <family val="2"/>
    </font>
    <font>
      <b/>
      <sz val="10"/>
      <name val="Arial"/>
      <family val="2"/>
    </font>
    <font>
      <sz val="11"/>
      <color theme="1"/>
      <name val="Calibri"/>
      <family val="2"/>
      <scheme val="minor"/>
    </font>
    <font>
      <u/>
      <sz val="11"/>
      <color theme="10"/>
      <name val="Calibri"/>
      <family val="2"/>
    </font>
    <font>
      <sz val="12"/>
      <name val="Calibri"/>
      <family val="2"/>
      <scheme val="minor"/>
    </font>
    <font>
      <b/>
      <sz val="12"/>
      <name val="Calibri"/>
      <family val="2"/>
      <scheme val="minor"/>
    </font>
    <font>
      <b/>
      <sz val="12"/>
      <color rgb="FFFF0000"/>
      <name val="Calibri"/>
      <family val="2"/>
      <scheme val="minor"/>
    </font>
    <font>
      <sz val="12"/>
      <color rgb="FFFF0000"/>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sz val="12"/>
      <color indexed="8"/>
      <name val="Calibri"/>
      <family val="2"/>
      <scheme val="minor"/>
    </font>
    <font>
      <b/>
      <sz val="11"/>
      <color theme="1"/>
      <name val="Calibri"/>
      <family val="2"/>
      <scheme val="minor"/>
    </font>
    <font>
      <sz val="12"/>
      <color rgb="FF000000"/>
      <name val="Calibri"/>
      <family val="2"/>
      <scheme val="minor"/>
    </font>
    <font>
      <i/>
      <sz val="12"/>
      <color theme="1"/>
      <name val="Calibri"/>
      <family val="2"/>
      <scheme val="minor"/>
    </font>
    <font>
      <sz val="12"/>
      <color theme="1"/>
      <name val="Calibri"/>
      <family val="2"/>
    </font>
    <font>
      <b/>
      <sz val="11"/>
      <name val="Calibri"/>
      <family val="2"/>
      <scheme val="minor"/>
    </font>
    <font>
      <b/>
      <sz val="11"/>
      <color theme="5" tint="0.79998168889431442"/>
      <name val="Calibri"/>
      <family val="2"/>
      <scheme val="minor"/>
    </font>
    <font>
      <sz val="11"/>
      <name val="Calibri"/>
      <family val="2"/>
      <scheme val="minor"/>
    </font>
    <font>
      <sz val="11"/>
      <color rgb="FF000000"/>
      <name val="Calibri"/>
      <family val="2"/>
    </font>
    <font>
      <b/>
      <sz val="10"/>
      <color theme="1"/>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000000"/>
      <name val="Calibri"/>
      <family val="2"/>
    </font>
    <font>
      <sz val="14"/>
      <color theme="1"/>
      <name val="Calibri"/>
      <family val="2"/>
      <scheme val="minor"/>
    </font>
    <font>
      <b/>
      <sz val="16"/>
      <color theme="1"/>
      <name val="Calibri"/>
      <family val="2"/>
      <scheme val="minor"/>
    </font>
    <font>
      <b/>
      <sz val="11"/>
      <color rgb="FFFF0000"/>
      <name val="Calibri"/>
      <family val="2"/>
      <scheme val="minor"/>
    </font>
    <font>
      <b/>
      <i/>
      <sz val="11"/>
      <color theme="1"/>
      <name val="Calibri"/>
      <family val="2"/>
      <scheme val="minor"/>
    </font>
    <font>
      <sz val="11"/>
      <color rgb="FFFF0000"/>
      <name val="Calibri"/>
      <family val="2"/>
      <scheme val="minor"/>
    </font>
    <font>
      <i/>
      <sz val="11"/>
      <color theme="1"/>
      <name val="Calibri"/>
      <family val="2"/>
      <scheme val="minor"/>
    </font>
    <font>
      <b/>
      <sz val="18"/>
      <color theme="1"/>
      <name val="Calibri"/>
      <family val="2"/>
      <scheme val="minor"/>
    </font>
    <font>
      <b/>
      <sz val="11"/>
      <color rgb="FFFFFFFF"/>
      <name val="Calibri"/>
      <family val="2"/>
      <scheme val="minor"/>
    </font>
    <font>
      <u/>
      <sz val="11"/>
      <color theme="10"/>
      <name val="Calibri"/>
      <family val="2"/>
      <scheme val="minor"/>
    </font>
    <font>
      <vertAlign val="superscript"/>
      <sz val="12"/>
      <color theme="1"/>
      <name val="Calibri"/>
      <family val="2"/>
      <scheme val="minor"/>
    </font>
    <font>
      <sz val="12"/>
      <color rgb="FF00B050"/>
      <name val="Calibri"/>
      <family val="2"/>
      <scheme val="minor"/>
    </font>
    <font>
      <sz val="12"/>
      <color theme="3"/>
      <name val="Calibri"/>
      <family val="2"/>
      <scheme val="minor"/>
    </font>
    <font>
      <sz val="12"/>
      <color theme="6" tint="-0.249977111117893"/>
      <name val="Calibri"/>
      <family val="2"/>
      <scheme val="minor"/>
    </font>
    <font>
      <sz val="12"/>
      <color theme="6"/>
      <name val="Calibri"/>
      <family val="2"/>
      <scheme val="minor"/>
    </font>
    <font>
      <b/>
      <i/>
      <sz val="18"/>
      <color theme="1"/>
      <name val="Calibri"/>
      <family val="2"/>
      <scheme val="minor"/>
    </font>
    <font>
      <sz val="14"/>
      <name val="Calibri"/>
      <family val="2"/>
      <scheme val="minor"/>
    </font>
    <font>
      <b/>
      <sz val="14"/>
      <color theme="1"/>
      <name val="Calibri"/>
      <family val="2"/>
      <scheme val="minor"/>
    </font>
  </fonts>
  <fills count="5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64"/>
      </patternFill>
    </fill>
    <fill>
      <patternFill patternType="solid">
        <fgColor indexed="2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EEECE1"/>
        <bgColor indexed="64"/>
      </patternFill>
    </fill>
    <fill>
      <patternFill patternType="solid">
        <fgColor theme="6"/>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3" tint="0.79998168889431442"/>
        <bgColor indexed="64"/>
      </patternFill>
    </fill>
    <fill>
      <patternFill patternType="solid">
        <fgColor rgb="FF0070C0"/>
        <bgColor indexed="64"/>
      </patternFill>
    </fill>
    <fill>
      <patternFill patternType="solid">
        <fgColor theme="3" tint="0.39997558519241921"/>
        <bgColor indexed="64"/>
      </patternFill>
    </fill>
    <fill>
      <patternFill patternType="solid">
        <fgColor rgb="FF548DD4"/>
        <bgColor indexed="64"/>
      </patternFill>
    </fill>
    <fill>
      <patternFill patternType="solid">
        <fgColor rgb="FFFFFFFF"/>
        <bgColor indexed="64"/>
      </patternFill>
    </fill>
    <fill>
      <patternFill patternType="solid">
        <fgColor theme="8" tint="0.79998168889431442"/>
        <bgColor indexed="64"/>
      </patternFill>
    </fill>
    <fill>
      <patternFill patternType="solid">
        <fgColor rgb="FFD9D9D9"/>
        <bgColor indexed="64"/>
      </patternFill>
    </fill>
    <fill>
      <patternFill patternType="solid">
        <fgColor theme="0" tint="-0.499984740745262"/>
        <bgColor indexed="64"/>
      </patternFill>
    </fill>
    <fill>
      <patternFill patternType="solid">
        <fgColor theme="7" tint="0.79998168889431442"/>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top style="double">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03">
    <xf numFmtId="0" fontId="0"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2" fillId="21" borderId="1" applyNumberFormat="0" applyAlignment="0" applyProtection="0"/>
    <xf numFmtId="0" fontId="12" fillId="21" borderId="1" applyNumberFormat="0" applyAlignment="0" applyProtection="0"/>
    <xf numFmtId="0" fontId="12" fillId="21" borderId="1" applyNumberFormat="0" applyAlignment="0" applyProtection="0"/>
    <xf numFmtId="0" fontId="13" fillId="22" borderId="2" applyNumberFormat="0" applyAlignment="0" applyProtection="0"/>
    <xf numFmtId="0" fontId="13" fillId="22" borderId="2" applyNumberFormat="0" applyAlignment="0" applyProtection="0"/>
    <xf numFmtId="0" fontId="13" fillId="22" borderId="2" applyNumberFormat="0" applyAlignment="0" applyProtection="0"/>
    <xf numFmtId="43" fontId="30" fillId="0" borderId="0" applyFont="0" applyFill="0" applyBorder="0" applyAlignment="0" applyProtection="0"/>
    <xf numFmtId="167" fontId="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7" fillId="0" borderId="0" applyFont="0" applyFill="0" applyBorder="0" applyAlignment="0" applyProtection="0"/>
    <xf numFmtId="167" fontId="30"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43" fontId="7"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43" fontId="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30" fillId="0" borderId="0" applyFont="0" applyFill="0" applyBorder="0" applyAlignment="0" applyProtection="0"/>
    <xf numFmtId="164" fontId="30"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7"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4"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1" fillId="0" borderId="0" applyNumberFormat="0" applyFill="0" applyBorder="0" applyAlignment="0" applyProtection="0">
      <alignment vertical="top"/>
      <protection locked="0"/>
    </xf>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20" fillId="0" borderId="6"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 fillId="0" borderId="0"/>
    <xf numFmtId="0" fontId="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7" applyNumberFormat="0" applyAlignment="0" applyProtection="0"/>
    <xf numFmtId="0" fontId="1" fillId="24" borderId="7" applyNumberFormat="0" applyAlignment="0" applyProtection="0"/>
    <xf numFmtId="0" fontId="1" fillId="24" borderId="7" applyNumberFormat="0" applyAlignment="0" applyProtection="0"/>
    <xf numFmtId="0" fontId="22" fillId="21" borderId="8" applyNumberFormat="0" applyAlignment="0" applyProtection="0"/>
    <xf numFmtId="0" fontId="22" fillId="21" borderId="8" applyNumberFormat="0" applyAlignment="0" applyProtection="0"/>
    <xf numFmtId="0" fontId="22" fillId="21" borderId="8" applyNumberFormat="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0" fontId="32" fillId="0" borderId="9">
      <alignment vertical="top" wrapText="1"/>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1146">
    <xf numFmtId="0" fontId="0" fillId="0" borderId="0" xfId="0"/>
    <xf numFmtId="0" fontId="30" fillId="0" borderId="0" xfId="154"/>
    <xf numFmtId="0" fontId="30" fillId="0" borderId="0" xfId="154" applyAlignment="1">
      <alignment wrapText="1"/>
    </xf>
    <xf numFmtId="168" fontId="30" fillId="0" borderId="0" xfId="154" applyNumberFormat="1"/>
    <xf numFmtId="168" fontId="33" fillId="27" borderId="11" xfId="154" applyNumberFormat="1" applyFont="1" applyFill="1" applyBorder="1"/>
    <xf numFmtId="0" fontId="33" fillId="27" borderId="11" xfId="154" applyFont="1" applyFill="1" applyBorder="1"/>
    <xf numFmtId="0" fontId="33" fillId="27" borderId="11" xfId="154" applyFont="1" applyFill="1" applyBorder="1" applyAlignment="1">
      <alignment wrapText="1"/>
    </xf>
    <xf numFmtId="0" fontId="33" fillId="27" borderId="11" xfId="154" applyFont="1" applyFill="1" applyBorder="1" applyAlignment="1">
      <alignment horizontal="right" wrapText="1"/>
    </xf>
    <xf numFmtId="168" fontId="34" fillId="28" borderId="11" xfId="83" applyNumberFormat="1" applyFont="1" applyFill="1" applyBorder="1" applyAlignment="1">
      <alignment horizontal="center"/>
    </xf>
    <xf numFmtId="168" fontId="33" fillId="28" borderId="11" xfId="83" applyNumberFormat="1" applyFont="1" applyFill="1" applyBorder="1"/>
    <xf numFmtId="168" fontId="32" fillId="28" borderId="11" xfId="83" applyNumberFormat="1" applyFont="1" applyFill="1" applyBorder="1"/>
    <xf numFmtId="168" fontId="32" fillId="28" borderId="11" xfId="88" applyNumberFormat="1" applyFont="1" applyFill="1" applyBorder="1" applyAlignment="1">
      <alignment wrapText="1"/>
    </xf>
    <xf numFmtId="168" fontId="35" fillId="28" borderId="11" xfId="88" applyNumberFormat="1" applyFont="1" applyFill="1" applyBorder="1" applyAlignment="1">
      <alignment wrapText="1"/>
    </xf>
    <xf numFmtId="168" fontId="36" fillId="28" borderId="11" xfId="83" applyNumberFormat="1" applyFont="1" applyFill="1" applyBorder="1"/>
    <xf numFmtId="0" fontId="36" fillId="28" borderId="11" xfId="154" applyFont="1" applyFill="1" applyBorder="1" applyAlignment="1">
      <alignment wrapText="1"/>
    </xf>
    <xf numFmtId="0" fontId="37" fillId="28" borderId="11" xfId="154" applyFont="1" applyFill="1" applyBorder="1" applyAlignment="1">
      <alignment wrapText="1"/>
    </xf>
    <xf numFmtId="168" fontId="32" fillId="0" borderId="11" xfId="83" applyNumberFormat="1" applyFont="1" applyBorder="1"/>
    <xf numFmtId="168" fontId="36" fillId="0" borderId="11" xfId="83" applyNumberFormat="1" applyFont="1" applyBorder="1"/>
    <xf numFmtId="0" fontId="36" fillId="0" borderId="11" xfId="154" applyFont="1" applyBorder="1" applyAlignment="1">
      <alignment horizontal="center" wrapText="1"/>
    </xf>
    <xf numFmtId="0" fontId="36" fillId="0" borderId="11" xfId="154" applyFont="1" applyBorder="1" applyAlignment="1">
      <alignment wrapText="1"/>
    </xf>
    <xf numFmtId="0" fontId="36" fillId="0" borderId="11" xfId="154" applyFont="1" applyBorder="1" applyAlignment="1">
      <alignment horizontal="right" vertical="center" wrapText="1"/>
    </xf>
    <xf numFmtId="0" fontId="32" fillId="0" borderId="11" xfId="0" applyFont="1" applyFill="1" applyBorder="1" applyAlignment="1">
      <alignment horizontal="left" vertical="center" wrapText="1"/>
    </xf>
    <xf numFmtId="168" fontId="32" fillId="0" borderId="11" xfId="83" applyNumberFormat="1" applyFont="1" applyBorder="1" applyAlignment="1">
      <alignment wrapText="1"/>
    </xf>
    <xf numFmtId="168" fontId="36" fillId="0" borderId="11" xfId="83" applyNumberFormat="1" applyFont="1" applyBorder="1" applyAlignment="1">
      <alignment wrapText="1"/>
    </xf>
    <xf numFmtId="0" fontId="36" fillId="29" borderId="11" xfId="154" applyFont="1" applyFill="1" applyBorder="1" applyAlignment="1">
      <alignment horizontal="center" wrapText="1"/>
    </xf>
    <xf numFmtId="168" fontId="32" fillId="0" borderId="11" xfId="83" applyNumberFormat="1" applyFont="1" applyFill="1" applyBorder="1" applyAlignment="1"/>
    <xf numFmtId="168" fontId="36" fillId="30" borderId="11" xfId="88" applyNumberFormat="1" applyFont="1" applyFill="1" applyBorder="1" applyAlignment="1">
      <alignment wrapText="1"/>
    </xf>
    <xf numFmtId="0" fontId="37" fillId="31" borderId="11" xfId="154" applyFont="1" applyFill="1" applyBorder="1" applyAlignment="1">
      <alignment horizontal="center" vertical="center" wrapText="1"/>
    </xf>
    <xf numFmtId="167" fontId="33" fillId="31" borderId="11" xfId="83" applyFont="1" applyFill="1" applyBorder="1" applyAlignment="1"/>
    <xf numFmtId="0" fontId="37" fillId="31" borderId="11" xfId="154" applyFont="1" applyFill="1" applyBorder="1" applyAlignment="1">
      <alignment horizontal="center" wrapText="1"/>
    </xf>
    <xf numFmtId="0" fontId="37" fillId="31" borderId="11" xfId="154" applyFont="1" applyFill="1" applyBorder="1" applyAlignment="1">
      <alignment wrapText="1"/>
    </xf>
    <xf numFmtId="0" fontId="30" fillId="0" borderId="0" xfId="154" applyFill="1"/>
    <xf numFmtId="168" fontId="37" fillId="27" borderId="11" xfId="83" applyNumberFormat="1" applyFont="1" applyFill="1" applyBorder="1"/>
    <xf numFmtId="168" fontId="36" fillId="27" borderId="11" xfId="83" applyNumberFormat="1" applyFont="1" applyFill="1" applyBorder="1"/>
    <xf numFmtId="0" fontId="36" fillId="27" borderId="11" xfId="154" applyFont="1" applyFill="1" applyBorder="1" applyAlignment="1">
      <alignment wrapText="1"/>
    </xf>
    <xf numFmtId="0" fontId="37" fillId="27" borderId="11" xfId="154" applyFont="1" applyFill="1" applyBorder="1" applyAlignment="1">
      <alignment horizontal="right" wrapText="1"/>
    </xf>
    <xf numFmtId="168" fontId="4" fillId="28" borderId="12" xfId="83" applyNumberFormat="1" applyFont="1" applyFill="1" applyBorder="1"/>
    <xf numFmtId="0" fontId="4" fillId="28" borderId="12" xfId="157" applyFont="1" applyFill="1" applyBorder="1" applyAlignment="1">
      <alignment wrapText="1"/>
    </xf>
    <xf numFmtId="0" fontId="5" fillId="28" borderId="12" xfId="157" applyFont="1" applyFill="1" applyBorder="1" applyAlignment="1">
      <alignment wrapText="1"/>
    </xf>
    <xf numFmtId="168" fontId="4" fillId="0" borderId="11" xfId="83" applyNumberFormat="1" applyFont="1" applyBorder="1"/>
    <xf numFmtId="0" fontId="4" fillId="0" borderId="11" xfId="157" applyFont="1" applyBorder="1" applyAlignment="1">
      <alignment horizontal="center" wrapText="1"/>
    </xf>
    <xf numFmtId="0" fontId="4" fillId="0" borderId="11" xfId="157" applyFont="1" applyBorder="1" applyAlignment="1">
      <alignment wrapText="1"/>
    </xf>
    <xf numFmtId="0" fontId="4" fillId="0" borderId="11" xfId="157" applyFont="1" applyBorder="1" applyAlignment="1">
      <alignment horizontal="right" vertical="center" wrapText="1"/>
    </xf>
    <xf numFmtId="168" fontId="4" fillId="0" borderId="11" xfId="83" applyNumberFormat="1" applyFont="1" applyFill="1" applyBorder="1"/>
    <xf numFmtId="0" fontId="4" fillId="0" borderId="11" xfId="157" applyFont="1" applyFill="1" applyBorder="1" applyAlignment="1">
      <alignment horizontal="center" wrapText="1"/>
    </xf>
    <xf numFmtId="0" fontId="4" fillId="0" borderId="11" xfId="157" applyFont="1" applyFill="1" applyBorder="1" applyAlignment="1">
      <alignment wrapText="1"/>
    </xf>
    <xf numFmtId="0" fontId="4" fillId="0" borderId="11" xfId="157" applyFont="1" applyFill="1" applyBorder="1" applyAlignment="1">
      <alignment horizontal="right" vertical="center" wrapText="1"/>
    </xf>
    <xf numFmtId="168" fontId="4" fillId="0" borderId="11" xfId="83" applyNumberFormat="1" applyFont="1" applyBorder="1" applyAlignment="1">
      <alignment wrapText="1"/>
    </xf>
    <xf numFmtId="168" fontId="6" fillId="0" borderId="11" xfId="83" applyNumberFormat="1" applyFont="1" applyFill="1" applyBorder="1" applyAlignment="1"/>
    <xf numFmtId="0" fontId="4" fillId="29" borderId="11" xfId="157" applyFont="1" applyFill="1" applyBorder="1" applyAlignment="1">
      <alignment horizontal="center" wrapText="1"/>
    </xf>
    <xf numFmtId="0" fontId="36" fillId="0" borderId="11" xfId="154" applyFont="1" applyFill="1" applyBorder="1" applyAlignment="1">
      <alignment wrapText="1"/>
    </xf>
    <xf numFmtId="168" fontId="6" fillId="0" borderId="11" xfId="83" applyNumberFormat="1" applyFont="1" applyBorder="1" applyAlignment="1">
      <alignment wrapText="1"/>
    </xf>
    <xf numFmtId="0" fontId="36" fillId="0" borderId="11" xfId="154" applyFont="1" applyFill="1" applyBorder="1" applyAlignment="1">
      <alignment vertical="top" wrapText="1"/>
    </xf>
    <xf numFmtId="168" fontId="4" fillId="25" borderId="11" xfId="90" applyNumberFormat="1" applyFont="1" applyFill="1" applyBorder="1" applyAlignment="1">
      <alignment wrapText="1"/>
    </xf>
    <xf numFmtId="0" fontId="36" fillId="28" borderId="12" xfId="154" applyFont="1" applyFill="1" applyBorder="1" applyAlignment="1">
      <alignment wrapText="1"/>
    </xf>
    <xf numFmtId="0" fontId="37" fillId="28" borderId="12" xfId="154" applyFont="1" applyFill="1" applyBorder="1" applyAlignment="1">
      <alignment wrapText="1"/>
    </xf>
    <xf numFmtId="168" fontId="36" fillId="0" borderId="11" xfId="83" applyNumberFormat="1" applyFont="1" applyFill="1" applyBorder="1"/>
    <xf numFmtId="0" fontId="36" fillId="0" borderId="12" xfId="154" applyFont="1" applyFill="1" applyBorder="1" applyAlignment="1">
      <alignment wrapText="1"/>
    </xf>
    <xf numFmtId="0" fontId="36" fillId="29" borderId="11" xfId="154" applyFont="1" applyFill="1" applyBorder="1" applyAlignment="1">
      <alignment wrapText="1"/>
    </xf>
    <xf numFmtId="0" fontId="36" fillId="0" borderId="11" xfId="0" applyFont="1" applyBorder="1" applyAlignment="1">
      <alignment horizontal="justify"/>
    </xf>
    <xf numFmtId="0" fontId="4" fillId="0" borderId="11" xfId="154" applyFont="1" applyFill="1" applyBorder="1" applyAlignment="1">
      <alignment vertical="top" wrapText="1"/>
    </xf>
    <xf numFmtId="168" fontId="36" fillId="32" borderId="11" xfId="83" applyNumberFormat="1" applyFont="1" applyFill="1" applyBorder="1"/>
    <xf numFmtId="0" fontId="37" fillId="0" borderId="11" xfId="154" applyFont="1" applyFill="1" applyBorder="1" applyAlignment="1">
      <alignment horizontal="left" wrapText="1"/>
    </xf>
    <xf numFmtId="168" fontId="37" fillId="29" borderId="11" xfId="83" applyNumberFormat="1" applyFont="1" applyFill="1" applyBorder="1"/>
    <xf numFmtId="168" fontId="36" fillId="29" borderId="11" xfId="83" applyNumberFormat="1" applyFont="1" applyFill="1" applyBorder="1"/>
    <xf numFmtId="0" fontId="37" fillId="29" borderId="11" xfId="154" applyFont="1" applyFill="1" applyBorder="1" applyAlignment="1">
      <alignment horizontal="left" wrapText="1"/>
    </xf>
    <xf numFmtId="0" fontId="36" fillId="0" borderId="11" xfId="154" applyFont="1" applyBorder="1" applyAlignment="1">
      <alignment vertical="top" wrapText="1"/>
    </xf>
    <xf numFmtId="0" fontId="36" fillId="32" borderId="11" xfId="154" applyFont="1" applyFill="1" applyBorder="1" applyAlignment="1">
      <alignment wrapText="1"/>
    </xf>
    <xf numFmtId="168" fontId="33" fillId="0" borderId="11" xfId="83" applyNumberFormat="1" applyFont="1" applyFill="1" applyBorder="1" applyAlignment="1"/>
    <xf numFmtId="0" fontId="36" fillId="33" borderId="11" xfId="154" applyFont="1" applyFill="1" applyBorder="1" applyAlignment="1">
      <alignment wrapText="1"/>
    </xf>
    <xf numFmtId="0" fontId="38" fillId="32" borderId="11" xfId="154" applyFont="1" applyFill="1" applyBorder="1" applyAlignment="1">
      <alignment horizontal="left" wrapText="1"/>
    </xf>
    <xf numFmtId="0" fontId="39" fillId="0" borderId="11" xfId="154" applyFont="1" applyFill="1" applyBorder="1" applyAlignment="1">
      <alignment wrapText="1"/>
    </xf>
    <xf numFmtId="0" fontId="32" fillId="0" borderId="0" xfId="147" applyFont="1"/>
    <xf numFmtId="0" fontId="39" fillId="0" borderId="11" xfId="147" applyFont="1" applyFill="1" applyBorder="1" applyAlignment="1">
      <alignment vertical="top" wrapText="1"/>
    </xf>
    <xf numFmtId="168" fontId="33" fillId="28" borderId="11" xfId="83" applyNumberFormat="1" applyFont="1" applyFill="1" applyBorder="1" applyAlignment="1">
      <alignment wrapText="1"/>
    </xf>
    <xf numFmtId="0" fontId="36" fillId="28" borderId="13" xfId="154" applyFont="1" applyFill="1" applyBorder="1" applyAlignment="1">
      <alignment horizontal="left" wrapText="1"/>
    </xf>
    <xf numFmtId="0" fontId="39" fillId="28" borderId="13" xfId="147" applyFont="1" applyFill="1" applyBorder="1" applyAlignment="1">
      <alignment wrapText="1"/>
    </xf>
    <xf numFmtId="168" fontId="33" fillId="0" borderId="11" xfId="83" applyNumberFormat="1" applyFont="1" applyBorder="1" applyAlignment="1">
      <alignment wrapText="1"/>
    </xf>
    <xf numFmtId="0" fontId="36" fillId="0" borderId="13" xfId="154" applyFont="1" applyBorder="1" applyAlignment="1">
      <alignment horizontal="left" wrapText="1"/>
    </xf>
    <xf numFmtId="168" fontId="32" fillId="0" borderId="11" xfId="83" applyNumberFormat="1" applyFont="1" applyFill="1" applyBorder="1" applyAlignment="1">
      <alignment wrapText="1"/>
    </xf>
    <xf numFmtId="0" fontId="39" fillId="0" borderId="0" xfId="147" applyFont="1" applyFill="1" applyAlignment="1">
      <alignment vertical="top" wrapText="1"/>
    </xf>
    <xf numFmtId="0" fontId="39" fillId="0" borderId="11" xfId="154" applyFont="1" applyFill="1" applyBorder="1" applyAlignment="1">
      <alignment vertical="top" wrapText="1"/>
    </xf>
    <xf numFmtId="0" fontId="39" fillId="0" borderId="11" xfId="154" applyFont="1" applyBorder="1" applyAlignment="1">
      <alignment vertical="top" wrapText="1"/>
    </xf>
    <xf numFmtId="168" fontId="37" fillId="0" borderId="11" xfId="83" applyNumberFormat="1" applyFont="1" applyBorder="1" applyAlignment="1">
      <alignment wrapText="1"/>
    </xf>
    <xf numFmtId="0" fontId="36" fillId="0" borderId="0" xfId="154" applyFont="1"/>
    <xf numFmtId="167" fontId="33" fillId="31" borderId="11" xfId="83" applyFont="1" applyFill="1" applyBorder="1" applyAlignment="1">
      <alignment horizontal="center" vertical="center"/>
    </xf>
    <xf numFmtId="0" fontId="37" fillId="34" borderId="11" xfId="154" applyFont="1" applyFill="1" applyBorder="1" applyAlignment="1">
      <alignment horizontal="center" vertical="center" wrapText="1"/>
    </xf>
    <xf numFmtId="0" fontId="36" fillId="30" borderId="11" xfId="154" applyFont="1" applyFill="1" applyBorder="1" applyAlignment="1">
      <alignment wrapText="1"/>
    </xf>
    <xf numFmtId="0" fontId="32" fillId="0" borderId="11" xfId="147" applyFont="1" applyBorder="1" applyAlignment="1">
      <alignment vertical="center" wrapText="1"/>
    </xf>
    <xf numFmtId="0" fontId="32" fillId="0" borderId="11" xfId="147" applyFont="1" applyBorder="1" applyAlignment="1">
      <alignment horizontal="left" vertical="center" wrapText="1"/>
    </xf>
    <xf numFmtId="0" fontId="37" fillId="32" borderId="12" xfId="154" applyFont="1" applyFill="1" applyBorder="1" applyAlignment="1">
      <alignment vertical="center" wrapText="1"/>
    </xf>
    <xf numFmtId="168" fontId="37" fillId="28" borderId="11" xfId="83" applyNumberFormat="1" applyFont="1" applyFill="1" applyBorder="1"/>
    <xf numFmtId="0" fontId="36" fillId="30" borderId="13" xfId="154" applyFont="1" applyFill="1" applyBorder="1" applyAlignment="1">
      <alignment vertical="center" wrapText="1"/>
    </xf>
    <xf numFmtId="0" fontId="36" fillId="30" borderId="14" xfId="154" applyFont="1" applyFill="1" applyBorder="1" applyAlignment="1">
      <alignment vertical="center" wrapText="1"/>
    </xf>
    <xf numFmtId="0" fontId="37" fillId="32" borderId="11" xfId="154" applyFont="1" applyFill="1" applyBorder="1" applyAlignment="1">
      <alignment wrapText="1"/>
    </xf>
    <xf numFmtId="0" fontId="37" fillId="32" borderId="15" xfId="154" applyFont="1" applyFill="1" applyBorder="1" applyAlignment="1">
      <alignment horizontal="left" wrapText="1"/>
    </xf>
    <xf numFmtId="0" fontId="37" fillId="32" borderId="11" xfId="154" applyFont="1" applyFill="1" applyBorder="1" applyAlignment="1">
      <alignment horizontal="center" vertical="center" wrapText="1"/>
    </xf>
    <xf numFmtId="0" fontId="36" fillId="0" borderId="11" xfId="154" applyFont="1" applyBorder="1" applyAlignment="1">
      <alignment horizontal="left" vertical="top" wrapText="1"/>
    </xf>
    <xf numFmtId="0" fontId="36" fillId="0" borderId="14" xfId="154" applyFont="1" applyBorder="1" applyAlignment="1">
      <alignment horizontal="center" vertical="center" wrapText="1"/>
    </xf>
    <xf numFmtId="0" fontId="37" fillId="32" borderId="11" xfId="154" applyFont="1" applyFill="1" applyBorder="1" applyAlignment="1">
      <alignment horizontal="left" wrapText="1"/>
    </xf>
    <xf numFmtId="0" fontId="37" fillId="32" borderId="16" xfId="154" applyFont="1" applyFill="1" applyBorder="1" applyAlignment="1">
      <alignment horizontal="left" wrapText="1"/>
    </xf>
    <xf numFmtId="0" fontId="36" fillId="29" borderId="13" xfId="154" applyFont="1" applyFill="1" applyBorder="1" applyAlignment="1">
      <alignment horizontal="center" wrapText="1"/>
    </xf>
    <xf numFmtId="0" fontId="36" fillId="0" borderId="13" xfId="154" applyFont="1" applyBorder="1" applyAlignment="1">
      <alignment horizontal="left" vertical="center" wrapText="1"/>
    </xf>
    <xf numFmtId="0" fontId="39" fillId="0" borderId="13" xfId="147" applyFont="1" applyFill="1" applyBorder="1" applyAlignment="1">
      <alignment wrapText="1"/>
    </xf>
    <xf numFmtId="0" fontId="4" fillId="0" borderId="11" xfId="154" applyFont="1" applyBorder="1" applyAlignment="1">
      <alignment wrapText="1"/>
    </xf>
    <xf numFmtId="0" fontId="4" fillId="0" borderId="11" xfId="154" applyFont="1" applyBorder="1" applyAlignment="1">
      <alignment horizontal="right" vertical="center" wrapText="1"/>
    </xf>
    <xf numFmtId="168" fontId="4" fillId="0" borderId="11" xfId="111" applyNumberFormat="1" applyFont="1" applyBorder="1"/>
    <xf numFmtId="0" fontId="4" fillId="30" borderId="11" xfId="154" applyFont="1" applyFill="1" applyBorder="1" applyAlignment="1">
      <alignment wrapText="1"/>
    </xf>
    <xf numFmtId="0" fontId="4" fillId="30" borderId="11" xfId="154" applyFont="1" applyFill="1" applyBorder="1" applyAlignment="1">
      <alignment horizontal="right" wrapText="1"/>
    </xf>
    <xf numFmtId="168" fontId="4" fillId="30" borderId="11" xfId="111" applyNumberFormat="1" applyFont="1" applyFill="1" applyBorder="1"/>
    <xf numFmtId="0" fontId="4" fillId="0" borderId="11" xfId="154" applyFont="1" applyFill="1" applyBorder="1" applyAlignment="1">
      <alignment wrapText="1"/>
    </xf>
    <xf numFmtId="168" fontId="4" fillId="0" borderId="11" xfId="111" applyNumberFormat="1" applyFont="1" applyFill="1" applyBorder="1"/>
    <xf numFmtId="167" fontId="30" fillId="0" borderId="0" xfId="154" applyNumberFormat="1"/>
    <xf numFmtId="0" fontId="4" fillId="29" borderId="11" xfId="154" applyFont="1" applyFill="1" applyBorder="1" applyAlignment="1"/>
    <xf numFmtId="168" fontId="36" fillId="30" borderId="11" xfId="83" applyNumberFormat="1" applyFont="1" applyFill="1" applyBorder="1" applyAlignment="1">
      <alignment wrapText="1"/>
    </xf>
    <xf numFmtId="0" fontId="36" fillId="30" borderId="11" xfId="154" applyFont="1" applyFill="1" applyBorder="1" applyAlignment="1"/>
    <xf numFmtId="168" fontId="36" fillId="0" borderId="11" xfId="83" applyNumberFormat="1" applyFont="1" applyFill="1" applyBorder="1" applyAlignment="1">
      <alignment vertical="top" wrapText="1"/>
    </xf>
    <xf numFmtId="168" fontId="37" fillId="0" borderId="11" xfId="83" applyNumberFormat="1" applyFont="1" applyFill="1" applyBorder="1" applyAlignment="1">
      <alignment vertical="top" wrapText="1"/>
    </xf>
    <xf numFmtId="0" fontId="37" fillId="28" borderId="11" xfId="154" applyFont="1" applyFill="1" applyBorder="1" applyAlignment="1">
      <alignment vertical="center" wrapText="1"/>
    </xf>
    <xf numFmtId="0" fontId="6" fillId="0" borderId="11" xfId="156" applyFont="1" applyFill="1" applyBorder="1" applyAlignment="1">
      <alignment wrapText="1"/>
    </xf>
    <xf numFmtId="0" fontId="4" fillId="29" borderId="11" xfId="154" applyFont="1" applyFill="1" applyBorder="1" applyAlignment="1">
      <alignment wrapText="1"/>
    </xf>
    <xf numFmtId="0" fontId="6" fillId="0" borderId="11" xfId="156" applyFont="1" applyBorder="1" applyAlignment="1">
      <alignment wrapText="1"/>
    </xf>
    <xf numFmtId="0" fontId="6" fillId="0" borderId="11" xfId="147" applyFont="1" applyFill="1" applyBorder="1" applyAlignment="1">
      <alignment wrapText="1"/>
    </xf>
    <xf numFmtId="0" fontId="6" fillId="0" borderId="11" xfId="147" applyFont="1" applyFill="1" applyBorder="1" applyAlignment="1">
      <alignment horizontal="justify" wrapText="1"/>
    </xf>
    <xf numFmtId="168" fontId="37" fillId="0" borderId="11" xfId="83" applyNumberFormat="1" applyFont="1" applyFill="1" applyBorder="1"/>
    <xf numFmtId="0" fontId="4" fillId="0" borderId="11" xfId="158" applyFont="1" applyBorder="1" applyAlignment="1">
      <alignment horizontal="right" vertical="center" wrapText="1"/>
    </xf>
    <xf numFmtId="0" fontId="4" fillId="0" borderId="17" xfId="158" applyFont="1" applyFill="1" applyBorder="1" applyAlignment="1">
      <alignment vertical="top" wrapText="1"/>
    </xf>
    <xf numFmtId="0" fontId="4" fillId="0" borderId="11" xfId="154" applyFont="1" applyFill="1" applyBorder="1" applyAlignment="1">
      <alignment horizontal="center" wrapText="1"/>
    </xf>
    <xf numFmtId="0" fontId="5" fillId="28" borderId="11" xfId="154" applyFont="1" applyFill="1" applyBorder="1" applyAlignment="1">
      <alignment wrapText="1"/>
    </xf>
    <xf numFmtId="0" fontId="4" fillId="28" borderId="11" xfId="154" applyFont="1" applyFill="1" applyBorder="1" applyAlignment="1">
      <alignment wrapText="1"/>
    </xf>
    <xf numFmtId="168" fontId="4" fillId="25" borderId="11" xfId="87" applyNumberFormat="1" applyFont="1" applyFill="1" applyBorder="1" applyAlignment="1">
      <alignment wrapText="1"/>
    </xf>
    <xf numFmtId="168" fontId="6" fillId="0" borderId="11" xfId="111" applyNumberFormat="1" applyFont="1" applyBorder="1" applyAlignment="1">
      <alignment wrapText="1"/>
    </xf>
    <xf numFmtId="168" fontId="6" fillId="0" borderId="11" xfId="111" applyNumberFormat="1" applyFont="1" applyFill="1" applyBorder="1" applyAlignment="1"/>
    <xf numFmtId="0" fontId="4" fillId="0" borderId="11" xfId="154" applyFont="1" applyFill="1" applyBorder="1" applyAlignment="1">
      <alignment horizontal="right" vertical="center" wrapText="1"/>
    </xf>
    <xf numFmtId="168" fontId="4" fillId="28" borderId="11" xfId="111" applyNumberFormat="1" applyFont="1" applyFill="1" applyBorder="1"/>
    <xf numFmtId="168" fontId="5" fillId="28" borderId="11" xfId="111" applyNumberFormat="1" applyFont="1" applyFill="1" applyBorder="1"/>
    <xf numFmtId="0" fontId="4" fillId="0" borderId="11" xfId="154" applyFont="1" applyFill="1" applyBorder="1" applyAlignment="1">
      <alignment horizontal="right" wrapText="1"/>
    </xf>
    <xf numFmtId="169" fontId="5" fillId="28" borderId="11" xfId="111" applyNumberFormat="1" applyFont="1" applyFill="1" applyBorder="1" applyAlignment="1">
      <alignment wrapText="1"/>
    </xf>
    <xf numFmtId="0" fontId="4" fillId="29" borderId="11" xfId="157" applyFont="1" applyFill="1" applyBorder="1" applyAlignment="1">
      <alignment wrapText="1"/>
    </xf>
    <xf numFmtId="0" fontId="36" fillId="0" borderId="0" xfId="154" applyFont="1" applyAlignment="1">
      <alignment wrapText="1"/>
    </xf>
    <xf numFmtId="0" fontId="5" fillId="28" borderId="11" xfId="157" applyFont="1" applyFill="1" applyBorder="1" applyAlignment="1">
      <alignment wrapText="1"/>
    </xf>
    <xf numFmtId="0" fontId="4" fillId="28" borderId="11" xfId="157" applyFont="1" applyFill="1" applyBorder="1" applyAlignment="1">
      <alignment wrapText="1"/>
    </xf>
    <xf numFmtId="168" fontId="4" fillId="28" borderId="11" xfId="83" applyNumberFormat="1" applyFont="1" applyFill="1" applyBorder="1"/>
    <xf numFmtId="168" fontId="5" fillId="28" borderId="11" xfId="83" applyNumberFormat="1" applyFont="1" applyFill="1" applyBorder="1"/>
    <xf numFmtId="0" fontId="39" fillId="0" borderId="11" xfId="156" applyFont="1" applyBorder="1" applyAlignment="1">
      <alignment wrapText="1"/>
    </xf>
    <xf numFmtId="0" fontId="36" fillId="0" borderId="0" xfId="0" applyFont="1" applyAlignment="1">
      <alignment wrapText="1"/>
    </xf>
    <xf numFmtId="0" fontId="39" fillId="0" borderId="11" xfId="154" applyFont="1" applyBorder="1" applyAlignment="1">
      <alignment horizontal="left" vertical="top" wrapText="1"/>
    </xf>
    <xf numFmtId="0" fontId="4" fillId="0" borderId="11" xfId="154" applyFont="1" applyFill="1" applyBorder="1" applyAlignment="1">
      <alignment vertical="center" wrapText="1"/>
    </xf>
    <xf numFmtId="0" fontId="4" fillId="26" borderId="11" xfId="154" applyFont="1" applyFill="1" applyBorder="1" applyAlignment="1">
      <alignment wrapText="1"/>
    </xf>
    <xf numFmtId="0" fontId="6" fillId="0" borderId="11" xfId="159" applyFont="1" applyFill="1" applyBorder="1" applyAlignment="1">
      <alignment wrapText="1"/>
    </xf>
    <xf numFmtId="0" fontId="4" fillId="0" borderId="11" xfId="160" applyFont="1" applyFill="1" applyBorder="1" applyAlignment="1">
      <alignment horizontal="right" vertical="center" wrapText="1"/>
    </xf>
    <xf numFmtId="0" fontId="4" fillId="0" borderId="11" xfId="160" applyFont="1" applyFill="1" applyBorder="1" applyAlignment="1">
      <alignment wrapText="1"/>
    </xf>
    <xf numFmtId="0" fontId="30" fillId="0" borderId="11" xfId="154" applyBorder="1" applyAlignment="1">
      <alignment wrapText="1"/>
    </xf>
    <xf numFmtId="0" fontId="5" fillId="28" borderId="11" xfId="158" applyFont="1" applyFill="1" applyBorder="1" applyAlignment="1">
      <alignment wrapText="1"/>
    </xf>
    <xf numFmtId="0" fontId="4" fillId="28" borderId="11" xfId="158" applyFont="1" applyFill="1" applyBorder="1" applyAlignment="1">
      <alignment wrapText="1"/>
    </xf>
    <xf numFmtId="0" fontId="4" fillId="28" borderId="11" xfId="158" applyFont="1" applyFill="1" applyBorder="1" applyAlignment="1">
      <alignment horizontal="center" wrapText="1"/>
    </xf>
    <xf numFmtId="0" fontId="4" fillId="0" borderId="11" xfId="159" applyFont="1" applyBorder="1" applyAlignment="1">
      <alignment wrapText="1"/>
    </xf>
    <xf numFmtId="165" fontId="4" fillId="0" borderId="12" xfId="112" applyNumberFormat="1" applyFont="1" applyFill="1" applyBorder="1" applyAlignment="1">
      <alignment wrapText="1"/>
    </xf>
    <xf numFmtId="0" fontId="4" fillId="0" borderId="11" xfId="154" applyFont="1" applyBorder="1" applyAlignment="1">
      <alignment vertical="top" wrapText="1"/>
    </xf>
    <xf numFmtId="165" fontId="4" fillId="0" borderId="11" xfId="154" applyNumberFormat="1" applyFont="1" applyBorder="1" applyAlignment="1">
      <alignment horizontal="center" wrapText="1"/>
    </xf>
    <xf numFmtId="0" fontId="4" fillId="0" borderId="11" xfId="175" applyFont="1" applyBorder="1" applyAlignment="1">
      <alignment vertical="top" wrapText="1"/>
    </xf>
    <xf numFmtId="165" fontId="4" fillId="0" borderId="11" xfId="112" applyNumberFormat="1" applyFont="1" applyBorder="1"/>
    <xf numFmtId="0" fontId="4" fillId="0" borderId="0" xfId="175" applyFont="1" applyAlignment="1">
      <alignment vertical="top" wrapText="1"/>
    </xf>
    <xf numFmtId="168" fontId="4" fillId="0" borderId="11" xfId="112" applyNumberFormat="1" applyFont="1" applyBorder="1" applyAlignment="1">
      <alignment wrapText="1"/>
    </xf>
    <xf numFmtId="0" fontId="4" fillId="0" borderId="13" xfId="154" applyFont="1" applyBorder="1" applyAlignment="1">
      <alignment horizontal="center" wrapText="1"/>
    </xf>
    <xf numFmtId="168" fontId="4" fillId="0" borderId="11" xfId="112" applyNumberFormat="1" applyFont="1" applyBorder="1"/>
    <xf numFmtId="168" fontId="4" fillId="28" borderId="11" xfId="112" applyNumberFormat="1" applyFont="1" applyFill="1" applyBorder="1"/>
    <xf numFmtId="165" fontId="5" fillId="28" borderId="11" xfId="112" applyNumberFormat="1" applyFont="1" applyFill="1" applyBorder="1"/>
    <xf numFmtId="0" fontId="4" fillId="0" borderId="0" xfId="147" applyFont="1" applyAlignment="1">
      <alignment vertical="top" wrapText="1"/>
    </xf>
    <xf numFmtId="165" fontId="6" fillId="0" borderId="11" xfId="112" applyNumberFormat="1" applyFont="1" applyFill="1" applyBorder="1" applyAlignment="1"/>
    <xf numFmtId="165" fontId="4" fillId="0" borderId="11" xfId="112" applyNumberFormat="1" applyFont="1" applyBorder="1" applyAlignment="1">
      <alignment wrapText="1"/>
    </xf>
    <xf numFmtId="168" fontId="5" fillId="28" borderId="11" xfId="112" applyNumberFormat="1" applyFont="1" applyFill="1" applyBorder="1"/>
    <xf numFmtId="168" fontId="4" fillId="0" borderId="11" xfId="112" applyNumberFormat="1" applyFont="1" applyFill="1" applyBorder="1"/>
    <xf numFmtId="165" fontId="4" fillId="0" borderId="11" xfId="112" applyNumberFormat="1" applyFont="1" applyFill="1" applyBorder="1"/>
    <xf numFmtId="0" fontId="4" fillId="0" borderId="12" xfId="154" applyFont="1" applyBorder="1" applyAlignment="1">
      <alignment vertical="top" wrapText="1"/>
    </xf>
    <xf numFmtId="168" fontId="5" fillId="0" borderId="11" xfId="112" applyNumberFormat="1" applyFont="1" applyBorder="1" applyAlignment="1">
      <alignment wrapText="1"/>
    </xf>
    <xf numFmtId="0" fontId="4" fillId="0" borderId="11" xfId="147" applyFont="1" applyBorder="1" applyAlignment="1">
      <alignment vertical="top" wrapText="1"/>
    </xf>
    <xf numFmtId="0" fontId="4" fillId="0" borderId="13" xfId="154" applyFont="1" applyFill="1" applyBorder="1" applyAlignment="1">
      <alignment horizontal="left" wrapText="1"/>
    </xf>
    <xf numFmtId="0" fontId="36" fillId="0" borderId="11" xfId="154" applyFont="1" applyFill="1" applyBorder="1" applyAlignment="1">
      <alignment horizontal="center" wrapText="1"/>
    </xf>
    <xf numFmtId="0" fontId="37" fillId="0" borderId="12" xfId="154" applyFont="1" applyFill="1" applyBorder="1" applyAlignment="1">
      <alignment wrapText="1"/>
    </xf>
    <xf numFmtId="0" fontId="36" fillId="0" borderId="12" xfId="154" applyFont="1" applyBorder="1" applyAlignment="1">
      <alignment horizontal="right" vertical="center" wrapText="1"/>
    </xf>
    <xf numFmtId="0" fontId="36" fillId="0" borderId="12" xfId="154" applyFont="1" applyBorder="1" applyAlignment="1">
      <alignment wrapText="1"/>
    </xf>
    <xf numFmtId="0" fontId="36" fillId="0" borderId="12" xfId="154" applyFont="1" applyBorder="1" applyAlignment="1">
      <alignment horizontal="center" wrapText="1"/>
    </xf>
    <xf numFmtId="168" fontId="36" fillId="0" borderId="12" xfId="83" applyNumberFormat="1" applyFont="1" applyBorder="1"/>
    <xf numFmtId="0" fontId="37" fillId="28" borderId="13" xfId="154" applyFont="1" applyFill="1" applyBorder="1" applyAlignment="1">
      <alignment wrapText="1"/>
    </xf>
    <xf numFmtId="0" fontId="36" fillId="28" borderId="13" xfId="154" applyFont="1" applyFill="1" applyBorder="1" applyAlignment="1">
      <alignment wrapText="1"/>
    </xf>
    <xf numFmtId="168" fontId="36" fillId="28" borderId="13" xfId="83" applyNumberFormat="1" applyFont="1" applyFill="1" applyBorder="1"/>
    <xf numFmtId="168" fontId="37" fillId="28" borderId="13" xfId="83" applyNumberFormat="1" applyFont="1" applyFill="1" applyBorder="1"/>
    <xf numFmtId="0" fontId="41" fillId="0" borderId="11" xfId="0" applyFont="1" applyBorder="1" applyAlignment="1">
      <alignment horizontal="left" wrapText="1"/>
    </xf>
    <xf numFmtId="168" fontId="32" fillId="0" borderId="11" xfId="83" quotePrefix="1" applyNumberFormat="1" applyFont="1" applyBorder="1" applyAlignment="1">
      <alignment horizontal="right" wrapText="1"/>
    </xf>
    <xf numFmtId="168" fontId="5" fillId="28" borderId="12" xfId="83" applyNumberFormat="1" applyFont="1" applyFill="1" applyBorder="1"/>
    <xf numFmtId="0" fontId="41" fillId="0" borderId="11" xfId="0" applyFont="1" applyFill="1" applyBorder="1" applyAlignment="1">
      <alignment horizontal="left" wrapText="1"/>
    </xf>
    <xf numFmtId="0" fontId="36" fillId="0" borderId="11" xfId="0" applyFont="1" applyFill="1" applyBorder="1" applyAlignment="1">
      <alignment horizontal="left" vertical="center" wrapText="1"/>
    </xf>
    <xf numFmtId="0" fontId="36" fillId="30" borderId="11" xfId="154" applyFont="1" applyFill="1" applyBorder="1" applyAlignment="1">
      <alignment horizontal="center" wrapText="1"/>
    </xf>
    <xf numFmtId="0" fontId="36" fillId="30" borderId="11" xfId="0" applyFont="1" applyFill="1" applyBorder="1" applyAlignment="1">
      <alignment horizontal="left" vertical="center" wrapText="1"/>
    </xf>
    <xf numFmtId="0" fontId="32" fillId="30" borderId="11" xfId="0" applyFont="1" applyFill="1" applyBorder="1" applyAlignment="1">
      <alignment horizontal="left" vertical="center" wrapText="1"/>
    </xf>
    <xf numFmtId="0" fontId="32" fillId="0" borderId="11" xfId="0" applyFont="1" applyBorder="1" applyAlignment="1">
      <alignment horizontal="left" vertical="center" wrapText="1"/>
    </xf>
    <xf numFmtId="0" fontId="33" fillId="0" borderId="11" xfId="154" applyFont="1" applyFill="1" applyBorder="1" applyAlignment="1">
      <alignment horizontal="right" wrapText="1"/>
    </xf>
    <xf numFmtId="0" fontId="33" fillId="0" borderId="11" xfId="154" applyFont="1" applyFill="1" applyBorder="1" applyAlignment="1">
      <alignment wrapText="1"/>
    </xf>
    <xf numFmtId="0" fontId="33" fillId="0" borderId="11" xfId="154" applyFont="1" applyFill="1" applyBorder="1"/>
    <xf numFmtId="168" fontId="33" fillId="0" borderId="11" xfId="154" applyNumberFormat="1" applyFont="1" applyFill="1" applyBorder="1"/>
    <xf numFmtId="0" fontId="36" fillId="0" borderId="11" xfId="154" applyFont="1" applyBorder="1"/>
    <xf numFmtId="0" fontId="37" fillId="33" borderId="11" xfId="154" applyFont="1" applyFill="1" applyBorder="1" applyAlignment="1">
      <alignment wrapText="1"/>
    </xf>
    <xf numFmtId="0" fontId="37" fillId="33" borderId="11" xfId="154" applyFont="1" applyFill="1" applyBorder="1"/>
    <xf numFmtId="168" fontId="37" fillId="33" borderId="11" xfId="154" applyNumberFormat="1" applyFont="1" applyFill="1" applyBorder="1"/>
    <xf numFmtId="0" fontId="6" fillId="0" borderId="0" xfId="147" applyFont="1" applyAlignment="1">
      <alignment wrapText="1"/>
    </xf>
    <xf numFmtId="0" fontId="6" fillId="0" borderId="11" xfId="147" applyFont="1" applyBorder="1" applyAlignment="1">
      <alignment wrapText="1"/>
    </xf>
    <xf numFmtId="0" fontId="4" fillId="28" borderId="11" xfId="154" applyFont="1" applyFill="1" applyBorder="1" applyAlignment="1">
      <alignment horizontal="center" wrapText="1"/>
    </xf>
    <xf numFmtId="0" fontId="36" fillId="0" borderId="0" xfId="172" applyFont="1" applyFill="1" applyAlignment="1">
      <alignment wrapText="1"/>
    </xf>
    <xf numFmtId="0" fontId="6" fillId="0" borderId="11" xfId="157" applyFont="1" applyFill="1" applyBorder="1" applyAlignment="1">
      <alignment horizontal="justify"/>
    </xf>
    <xf numFmtId="0" fontId="6" fillId="0" borderId="11" xfId="147" applyFont="1" applyFill="1" applyBorder="1" applyAlignment="1">
      <alignment horizontal="justify"/>
    </xf>
    <xf numFmtId="0" fontId="36" fillId="0" borderId="17" xfId="154" applyFont="1" applyFill="1" applyBorder="1" applyAlignment="1">
      <alignment wrapText="1"/>
    </xf>
    <xf numFmtId="0" fontId="4" fillId="0" borderId="11" xfId="156" applyFont="1" applyBorder="1" applyAlignment="1">
      <alignment wrapText="1"/>
    </xf>
    <xf numFmtId="168" fontId="4" fillId="0" borderId="11" xfId="111" applyNumberFormat="1" applyFont="1" applyBorder="1" applyAlignment="1">
      <alignment wrapText="1"/>
    </xf>
    <xf numFmtId="0" fontId="6" fillId="0" borderId="0" xfId="147" applyFont="1" applyAlignment="1">
      <alignment horizontal="left" wrapText="1"/>
    </xf>
    <xf numFmtId="168" fontId="6" fillId="0" borderId="11" xfId="112" applyNumberFormat="1" applyFont="1" applyBorder="1" applyAlignment="1">
      <alignment wrapText="1"/>
    </xf>
    <xf numFmtId="168" fontId="6" fillId="0" borderId="11" xfId="112" applyNumberFormat="1" applyFont="1" applyFill="1" applyBorder="1" applyAlignment="1"/>
    <xf numFmtId="168" fontId="36" fillId="28" borderId="11" xfId="88" applyNumberFormat="1" applyFont="1" applyFill="1" applyBorder="1" applyAlignment="1">
      <alignment wrapText="1"/>
    </xf>
    <xf numFmtId="168" fontId="37" fillId="28" borderId="11" xfId="83" applyNumberFormat="1" applyFont="1" applyFill="1" applyBorder="1" applyAlignment="1">
      <alignment horizontal="center"/>
    </xf>
    <xf numFmtId="9" fontId="37" fillId="28" borderId="11" xfId="185" applyFont="1" applyFill="1" applyBorder="1" applyAlignment="1">
      <alignment horizontal="center"/>
    </xf>
    <xf numFmtId="168" fontId="37" fillId="28" borderId="11" xfId="88" applyNumberFormat="1" applyFont="1" applyFill="1" applyBorder="1" applyAlignment="1">
      <alignment wrapText="1"/>
    </xf>
    <xf numFmtId="168" fontId="37" fillId="28" borderId="12" xfId="88" applyNumberFormat="1" applyFont="1" applyFill="1" applyBorder="1" applyAlignment="1">
      <alignment wrapText="1"/>
    </xf>
    <xf numFmtId="0" fontId="42" fillId="0" borderId="11" xfId="0" applyFont="1" applyBorder="1" applyAlignment="1">
      <alignment horizontal="left" vertical="top" wrapText="1"/>
    </xf>
    <xf numFmtId="165" fontId="36" fillId="0" borderId="0" xfId="154" applyNumberFormat="1" applyFont="1"/>
    <xf numFmtId="167" fontId="37" fillId="31" borderId="11" xfId="83" applyFont="1" applyFill="1" applyBorder="1" applyAlignment="1"/>
    <xf numFmtId="168" fontId="37" fillId="0" borderId="11" xfId="83" applyNumberFormat="1" applyFont="1" applyFill="1" applyBorder="1" applyAlignment="1">
      <alignment wrapText="1"/>
    </xf>
    <xf numFmtId="168" fontId="37" fillId="0" borderId="11" xfId="88" applyNumberFormat="1" applyFont="1" applyFill="1" applyBorder="1" applyAlignment="1">
      <alignment wrapText="1"/>
    </xf>
    <xf numFmtId="0" fontId="37" fillId="31" borderId="11" xfId="154" applyFont="1" applyFill="1" applyBorder="1" applyAlignment="1"/>
    <xf numFmtId="0" fontId="36" fillId="0" borderId="11" xfId="154" applyFont="1" applyBorder="1" applyAlignment="1">
      <alignment vertical="center" wrapText="1"/>
    </xf>
    <xf numFmtId="0" fontId="32" fillId="0" borderId="11" xfId="146" applyFont="1" applyFill="1" applyBorder="1" applyAlignment="1">
      <alignment wrapText="1"/>
    </xf>
    <xf numFmtId="0" fontId="36" fillId="0" borderId="14" xfId="154" applyFont="1" applyBorder="1" applyAlignment="1">
      <alignment vertical="center" wrapText="1"/>
    </xf>
    <xf numFmtId="0" fontId="36" fillId="0" borderId="13" xfId="154" applyFont="1" applyBorder="1" applyAlignment="1">
      <alignment vertical="center" wrapText="1"/>
    </xf>
    <xf numFmtId="0" fontId="32" fillId="0" borderId="11" xfId="0" applyFont="1" applyBorder="1" applyAlignment="1">
      <alignment vertical="center" wrapText="1"/>
    </xf>
    <xf numFmtId="0" fontId="37" fillId="31" borderId="11" xfId="154" applyFont="1" applyFill="1" applyBorder="1" applyAlignment="1">
      <alignment horizontal="center" vertical="center"/>
    </xf>
    <xf numFmtId="168" fontId="37" fillId="30" borderId="11" xfId="88" applyNumberFormat="1" applyFont="1" applyFill="1" applyBorder="1" applyAlignment="1">
      <alignment wrapText="1"/>
    </xf>
    <xf numFmtId="168" fontId="33" fillId="0" borderId="11" xfId="83" applyNumberFormat="1" applyFont="1" applyFill="1" applyBorder="1" applyAlignment="1">
      <alignment wrapText="1"/>
    </xf>
    <xf numFmtId="0" fontId="5" fillId="35" borderId="11" xfId="157" applyFont="1" applyFill="1" applyBorder="1" applyAlignment="1">
      <alignment wrapText="1"/>
    </xf>
    <xf numFmtId="0" fontId="4" fillId="35" borderId="11" xfId="157" applyFont="1" applyFill="1" applyBorder="1" applyAlignment="1">
      <alignment wrapText="1"/>
    </xf>
    <xf numFmtId="168" fontId="4" fillId="35" borderId="11" xfId="83" applyNumberFormat="1" applyFont="1" applyFill="1" applyBorder="1"/>
    <xf numFmtId="168" fontId="5" fillId="35" borderId="11" xfId="83" applyNumberFormat="1" applyFont="1" applyFill="1" applyBorder="1"/>
    <xf numFmtId="165" fontId="4" fillId="0" borderId="11" xfId="154" applyNumberFormat="1" applyFont="1" applyBorder="1" applyAlignment="1">
      <alignment wrapText="1"/>
    </xf>
    <xf numFmtId="0" fontId="37" fillId="0" borderId="11" xfId="154" applyFont="1" applyFill="1" applyBorder="1" applyAlignment="1">
      <alignment horizontal="center" wrapText="1"/>
    </xf>
    <xf numFmtId="168" fontId="4" fillId="0" borderId="11" xfId="154" applyNumberFormat="1" applyFont="1" applyFill="1" applyBorder="1" applyAlignment="1">
      <alignment wrapText="1"/>
    </xf>
    <xf numFmtId="0" fontId="36" fillId="0" borderId="0" xfId="0" applyFont="1"/>
    <xf numFmtId="165" fontId="4" fillId="0" borderId="11" xfId="154" applyNumberFormat="1" applyFont="1" applyFill="1" applyBorder="1" applyAlignment="1">
      <alignment wrapText="1"/>
    </xf>
    <xf numFmtId="168" fontId="36" fillId="30" borderId="11" xfId="83" applyNumberFormat="1" applyFont="1" applyFill="1" applyBorder="1"/>
    <xf numFmtId="168" fontId="36" fillId="30" borderId="12" xfId="83" applyNumberFormat="1" applyFont="1" applyFill="1" applyBorder="1"/>
    <xf numFmtId="168" fontId="4" fillId="0" borderId="11" xfId="83" quotePrefix="1" applyNumberFormat="1" applyFont="1" applyBorder="1" applyAlignment="1">
      <alignment horizontal="right"/>
    </xf>
    <xf numFmtId="168" fontId="36" fillId="0" borderId="11" xfId="154" applyNumberFormat="1" applyFont="1" applyBorder="1"/>
    <xf numFmtId="168" fontId="36" fillId="0" borderId="13" xfId="83" applyNumberFormat="1" applyFont="1" applyBorder="1"/>
    <xf numFmtId="168" fontId="37" fillId="28" borderId="11" xfId="154" applyNumberFormat="1" applyFont="1" applyFill="1" applyBorder="1" applyAlignment="1">
      <alignment wrapText="1"/>
    </xf>
    <xf numFmtId="170" fontId="36" fillId="0" borderId="11" xfId="154" applyNumberFormat="1" applyFont="1" applyBorder="1" applyAlignment="1">
      <alignment wrapText="1"/>
    </xf>
    <xf numFmtId="168" fontId="36" fillId="0" borderId="11" xfId="154" applyNumberFormat="1" applyFont="1" applyBorder="1" applyAlignment="1">
      <alignment wrapText="1"/>
    </xf>
    <xf numFmtId="170" fontId="36" fillId="0" borderId="11" xfId="154" applyNumberFormat="1" applyFont="1" applyBorder="1" applyAlignment="1">
      <alignment horizontal="center" wrapText="1"/>
    </xf>
    <xf numFmtId="168" fontId="33" fillId="27" borderId="11" xfId="154" applyNumberFormat="1" applyFont="1" applyFill="1" applyBorder="1" applyAlignment="1">
      <alignment wrapText="1"/>
    </xf>
    <xf numFmtId="168" fontId="36" fillId="0" borderId="11" xfId="88" applyNumberFormat="1" applyFont="1" applyFill="1" applyBorder="1" applyAlignment="1">
      <alignment wrapText="1"/>
    </xf>
    <xf numFmtId="43" fontId="30" fillId="0" borderId="11" xfId="82" applyBorder="1" applyAlignment="1">
      <alignment wrapText="1"/>
    </xf>
    <xf numFmtId="0" fontId="30" fillId="36" borderId="0" xfId="156" applyFill="1"/>
    <xf numFmtId="0" fontId="30" fillId="0" borderId="0" xfId="156" applyFill="1"/>
    <xf numFmtId="0" fontId="40" fillId="37" borderId="16" xfId="156" applyFont="1" applyFill="1" applyBorder="1" applyAlignment="1">
      <alignment wrapText="1"/>
    </xf>
    <xf numFmtId="0" fontId="30" fillId="37" borderId="11" xfId="156" applyFont="1" applyFill="1" applyBorder="1"/>
    <xf numFmtId="0" fontId="30" fillId="0" borderId="0" xfId="156"/>
    <xf numFmtId="0" fontId="40" fillId="37" borderId="11" xfId="156" applyFont="1" applyFill="1" applyBorder="1" applyAlignment="1">
      <alignment horizontal="center" wrapText="1"/>
    </xf>
    <xf numFmtId="0" fontId="40" fillId="37" borderId="16" xfId="156" applyFont="1" applyFill="1" applyBorder="1" applyAlignment="1">
      <alignment horizontal="center" wrapText="1"/>
    </xf>
    <xf numFmtId="0" fontId="40" fillId="37" borderId="18" xfId="156" applyFont="1" applyFill="1" applyBorder="1" applyAlignment="1">
      <alignment horizontal="center" wrapText="1"/>
    </xf>
    <xf numFmtId="0" fontId="40" fillId="37" borderId="17" xfId="156" applyFont="1" applyFill="1" applyBorder="1" applyAlignment="1">
      <alignment horizontal="center" wrapText="1"/>
    </xf>
    <xf numFmtId="0" fontId="40" fillId="38" borderId="19" xfId="156" applyFont="1" applyFill="1" applyBorder="1" applyAlignment="1">
      <alignment horizontal="center" wrapText="1"/>
    </xf>
    <xf numFmtId="0" fontId="40" fillId="32" borderId="17" xfId="156" applyFont="1" applyFill="1" applyBorder="1" applyAlignment="1">
      <alignment horizontal="center" wrapText="1"/>
    </xf>
    <xf numFmtId="0" fontId="40" fillId="32" borderId="20" xfId="156" applyFont="1" applyFill="1" applyBorder="1" applyAlignment="1">
      <alignment horizontal="center" wrapText="1"/>
    </xf>
    <xf numFmtId="0" fontId="40" fillId="32" borderId="21" xfId="156" applyFont="1" applyFill="1" applyBorder="1" applyAlignment="1">
      <alignment horizontal="center" wrapText="1"/>
    </xf>
    <xf numFmtId="0" fontId="40" fillId="32" borderId="12" xfId="156" applyFont="1" applyFill="1" applyBorder="1" applyAlignment="1">
      <alignment horizontal="center" wrapText="1"/>
    </xf>
    <xf numFmtId="0" fontId="40" fillId="32" borderId="9" xfId="156" applyFont="1" applyFill="1" applyBorder="1" applyAlignment="1">
      <alignment horizontal="center" wrapText="1"/>
    </xf>
    <xf numFmtId="0" fontId="40" fillId="32" borderId="19" xfId="156" applyFont="1" applyFill="1" applyBorder="1" applyAlignment="1">
      <alignment horizontal="center" wrapText="1"/>
    </xf>
    <xf numFmtId="0" fontId="40" fillId="32" borderId="22" xfId="156" applyFont="1" applyFill="1" applyBorder="1" applyAlignment="1">
      <alignment horizontal="center"/>
    </xf>
    <xf numFmtId="0" fontId="40" fillId="32" borderId="11" xfId="156" applyFont="1" applyFill="1" applyBorder="1" applyAlignment="1">
      <alignment wrapText="1"/>
    </xf>
    <xf numFmtId="0" fontId="44" fillId="32" borderId="22" xfId="156" applyFont="1" applyFill="1" applyBorder="1" applyAlignment="1">
      <alignment horizontal="center" wrapText="1"/>
    </xf>
    <xf numFmtId="0" fontId="45" fillId="32" borderId="12" xfId="156" applyFont="1" applyFill="1" applyBorder="1" applyAlignment="1">
      <alignment horizontal="center" wrapText="1"/>
    </xf>
    <xf numFmtId="0" fontId="45" fillId="32" borderId="9" xfId="156" applyFont="1" applyFill="1" applyBorder="1" applyAlignment="1">
      <alignment horizontal="center" wrapText="1"/>
    </xf>
    <xf numFmtId="0" fontId="45" fillId="32" borderId="19" xfId="156" applyFont="1" applyFill="1" applyBorder="1" applyAlignment="1">
      <alignment horizontal="center" wrapText="1"/>
    </xf>
    <xf numFmtId="0" fontId="45" fillId="32" borderId="21" xfId="156" applyFont="1" applyFill="1" applyBorder="1" applyAlignment="1">
      <alignment horizontal="center" wrapText="1"/>
    </xf>
    <xf numFmtId="0" fontId="45" fillId="32" borderId="9" xfId="156" applyFont="1" applyFill="1" applyBorder="1" applyAlignment="1">
      <alignment wrapText="1"/>
    </xf>
    <xf numFmtId="0" fontId="45" fillId="32" borderId="22" xfId="156" applyFont="1" applyFill="1" applyBorder="1" applyAlignment="1">
      <alignment horizontal="right"/>
    </xf>
    <xf numFmtId="0" fontId="45" fillId="32" borderId="11" xfId="156" applyFont="1" applyFill="1" applyBorder="1" applyAlignment="1">
      <alignment wrapText="1"/>
    </xf>
    <xf numFmtId="0" fontId="24" fillId="0" borderId="11" xfId="167" applyFont="1" applyFill="1" applyBorder="1" applyAlignment="1">
      <alignment vertical="center" wrapText="1"/>
    </xf>
    <xf numFmtId="0" fontId="28" fillId="0" borderId="19" xfId="147" applyFont="1" applyFill="1" applyBorder="1" applyAlignment="1">
      <alignment vertical="center" wrapText="1"/>
    </xf>
    <xf numFmtId="168" fontId="46" fillId="0" borderId="22" xfId="112" applyNumberFormat="1" applyFont="1" applyFill="1" applyBorder="1" applyAlignment="1">
      <alignment horizontal="right"/>
    </xf>
    <xf numFmtId="168" fontId="30" fillId="0" borderId="12" xfId="112" applyNumberFormat="1" applyFont="1" applyFill="1" applyBorder="1" applyAlignment="1">
      <alignment horizontal="right"/>
    </xf>
    <xf numFmtId="168" fontId="30" fillId="0" borderId="9" xfId="112" applyNumberFormat="1" applyFont="1" applyFill="1" applyBorder="1" applyAlignment="1"/>
    <xf numFmtId="168" fontId="30" fillId="0" borderId="9" xfId="112" applyNumberFormat="1" applyFont="1" applyFill="1" applyBorder="1" applyAlignment="1">
      <alignment horizontal="right"/>
    </xf>
    <xf numFmtId="9" fontId="30" fillId="38" borderId="19" xfId="187" applyFont="1" applyFill="1" applyBorder="1" applyAlignment="1">
      <alignment horizontal="center"/>
    </xf>
    <xf numFmtId="168" fontId="30" fillId="0" borderId="21" xfId="112" applyNumberFormat="1" applyFont="1" applyFill="1" applyBorder="1" applyAlignment="1">
      <alignment horizontal="right"/>
    </xf>
    <xf numFmtId="168" fontId="30" fillId="0" borderId="9" xfId="112" applyNumberFormat="1" applyFont="1" applyFill="1" applyBorder="1" applyAlignment="1">
      <alignment horizontal="right" wrapText="1"/>
    </xf>
    <xf numFmtId="9" fontId="30" fillId="38" borderId="19" xfId="187" applyFont="1" applyFill="1" applyBorder="1" applyAlignment="1">
      <alignment horizontal="center" wrapText="1"/>
    </xf>
    <xf numFmtId="168" fontId="30" fillId="0" borderId="21" xfId="112" applyNumberFormat="1" applyFont="1" applyFill="1" applyBorder="1" applyAlignment="1">
      <alignment horizontal="right" wrapText="1"/>
    </xf>
    <xf numFmtId="168" fontId="30" fillId="0" borderId="12" xfId="112" applyNumberFormat="1" applyFont="1" applyFill="1" applyBorder="1" applyAlignment="1">
      <alignment horizontal="right" wrapText="1"/>
    </xf>
    <xf numFmtId="168" fontId="30" fillId="0" borderId="22" xfId="112" applyNumberFormat="1" applyFont="1" applyFill="1" applyBorder="1" applyAlignment="1">
      <alignment horizontal="right" wrapText="1"/>
    </xf>
    <xf numFmtId="9" fontId="40" fillId="38" borderId="11" xfId="187" applyFont="1" applyFill="1" applyBorder="1" applyAlignment="1">
      <alignment horizontal="center"/>
    </xf>
    <xf numFmtId="0" fontId="28" fillId="0" borderId="23" xfId="147" applyFont="1" applyFill="1" applyBorder="1" applyAlignment="1">
      <alignment vertical="center" wrapText="1"/>
    </xf>
    <xf numFmtId="168" fontId="46" fillId="0" borderId="16" xfId="112" applyNumberFormat="1" applyFont="1" applyFill="1" applyBorder="1" applyAlignment="1">
      <alignment horizontal="right" wrapText="1"/>
    </xf>
    <xf numFmtId="168" fontId="30" fillId="0" borderId="11" xfId="112" applyNumberFormat="1" applyFont="1" applyFill="1" applyBorder="1" applyAlignment="1">
      <alignment horizontal="right" wrapText="1"/>
    </xf>
    <xf numFmtId="168" fontId="30" fillId="0" borderId="17" xfId="112" applyNumberFormat="1" applyFont="1" applyFill="1" applyBorder="1" applyAlignment="1">
      <alignment horizontal="right" wrapText="1"/>
    </xf>
    <xf numFmtId="168" fontId="30" fillId="0" borderId="18" xfId="112" applyNumberFormat="1" applyFont="1" applyFill="1" applyBorder="1" applyAlignment="1">
      <alignment horizontal="right" wrapText="1"/>
    </xf>
    <xf numFmtId="168" fontId="46" fillId="0" borderId="22" xfId="112" applyNumberFormat="1" applyFont="1" applyFill="1" applyBorder="1" applyAlignment="1">
      <alignment horizontal="right" wrapText="1"/>
    </xf>
    <xf numFmtId="0" fontId="47" fillId="0" borderId="19" xfId="147" applyFont="1" applyFill="1" applyBorder="1" applyAlignment="1">
      <alignment vertical="center" wrapText="1"/>
    </xf>
    <xf numFmtId="168" fontId="30" fillId="0" borderId="16" xfId="112" applyNumberFormat="1" applyFont="1" applyFill="1" applyBorder="1" applyAlignment="1">
      <alignment horizontal="right" wrapText="1"/>
    </xf>
    <xf numFmtId="9" fontId="40" fillId="38" borderId="12" xfId="187" applyFont="1" applyFill="1" applyBorder="1" applyAlignment="1">
      <alignment horizontal="center"/>
    </xf>
    <xf numFmtId="168" fontId="44" fillId="37" borderId="24" xfId="112" applyNumberFormat="1" applyFont="1" applyFill="1" applyBorder="1" applyAlignment="1">
      <alignment horizontal="right"/>
    </xf>
    <xf numFmtId="168" fontId="40" fillId="37" borderId="9" xfId="112" applyNumberFormat="1" applyFont="1" applyFill="1" applyBorder="1" applyAlignment="1">
      <alignment horizontal="right"/>
    </xf>
    <xf numFmtId="168" fontId="40" fillId="37" borderId="25" xfId="112" applyNumberFormat="1" applyFont="1" applyFill="1" applyBorder="1" applyAlignment="1">
      <alignment horizontal="right"/>
    </xf>
    <xf numFmtId="168" fontId="40" fillId="37" borderId="24" xfId="112" applyNumberFormat="1" applyFont="1" applyFill="1" applyBorder="1" applyAlignment="1">
      <alignment horizontal="right"/>
    </xf>
    <xf numFmtId="168" fontId="40" fillId="37" borderId="25" xfId="112" applyNumberFormat="1" applyFont="1" applyFill="1" applyBorder="1" applyAlignment="1">
      <alignment horizontal="center"/>
    </xf>
    <xf numFmtId="168" fontId="30" fillId="37" borderId="11" xfId="112" applyNumberFormat="1" applyFont="1" applyFill="1" applyBorder="1" applyAlignment="1">
      <alignment horizontal="right"/>
    </xf>
    <xf numFmtId="0" fontId="24" fillId="0" borderId="17" xfId="167" applyFont="1" applyFill="1" applyBorder="1" applyAlignment="1">
      <alignment horizontal="left" vertical="center" wrapText="1"/>
    </xf>
    <xf numFmtId="9" fontId="40" fillId="38" borderId="13" xfId="187" applyFont="1" applyFill="1" applyBorder="1" applyAlignment="1">
      <alignment horizontal="center"/>
    </xf>
    <xf numFmtId="168" fontId="46" fillId="32" borderId="16" xfId="112" applyNumberFormat="1" applyFont="1" applyFill="1" applyBorder="1" applyAlignment="1">
      <alignment horizontal="right" wrapText="1"/>
    </xf>
    <xf numFmtId="168" fontId="30" fillId="32" borderId="11" xfId="112" applyNumberFormat="1" applyFont="1" applyFill="1" applyBorder="1" applyAlignment="1">
      <alignment horizontal="right" wrapText="1"/>
    </xf>
    <xf numFmtId="168" fontId="30" fillId="32" borderId="17" xfId="112" applyNumberFormat="1" applyFont="1" applyFill="1" applyBorder="1" applyAlignment="1">
      <alignment horizontal="right" wrapText="1"/>
    </xf>
    <xf numFmtId="168" fontId="30" fillId="32" borderId="9" xfId="112" applyNumberFormat="1" applyFont="1" applyFill="1" applyBorder="1" applyAlignment="1">
      <alignment horizontal="right"/>
    </xf>
    <xf numFmtId="9" fontId="30" fillId="32" borderId="19" xfId="187" applyFont="1" applyFill="1" applyBorder="1" applyAlignment="1">
      <alignment horizontal="center"/>
    </xf>
    <xf numFmtId="168" fontId="30" fillId="32" borderId="16" xfId="112" applyNumberFormat="1" applyFont="1" applyFill="1" applyBorder="1" applyAlignment="1">
      <alignment horizontal="right" wrapText="1"/>
    </xf>
    <xf numFmtId="168" fontId="30" fillId="32" borderId="9" xfId="112" applyNumberFormat="1" applyFont="1" applyFill="1" applyBorder="1" applyAlignment="1">
      <alignment horizontal="right" wrapText="1"/>
    </xf>
    <xf numFmtId="9" fontId="30" fillId="32" borderId="19" xfId="187" applyFont="1" applyFill="1" applyBorder="1" applyAlignment="1">
      <alignment horizontal="center" wrapText="1"/>
    </xf>
    <xf numFmtId="168" fontId="30" fillId="32" borderId="22" xfId="112" applyNumberFormat="1" applyFont="1" applyFill="1" applyBorder="1" applyAlignment="1">
      <alignment horizontal="right" wrapText="1"/>
    </xf>
    <xf numFmtId="9" fontId="40" fillId="32" borderId="11" xfId="187" applyFont="1" applyFill="1" applyBorder="1" applyAlignment="1">
      <alignment horizontal="center"/>
    </xf>
    <xf numFmtId="0" fontId="28" fillId="0" borderId="19" xfId="147" applyFont="1" applyFill="1" applyBorder="1" applyAlignment="1">
      <alignment horizontal="left" vertical="center" wrapText="1"/>
    </xf>
    <xf numFmtId="168" fontId="30" fillId="0" borderId="11" xfId="112" applyNumberFormat="1" applyFont="1" applyFill="1" applyBorder="1" applyAlignment="1">
      <alignment horizontal="right"/>
    </xf>
    <xf numFmtId="0" fontId="24" fillId="0" borderId="11" xfId="167" applyFont="1" applyFill="1" applyBorder="1" applyAlignment="1">
      <alignment horizontal="left" vertical="center" wrapText="1"/>
    </xf>
    <xf numFmtId="0" fontId="30" fillId="0" borderId="19" xfId="156" applyFont="1" applyFill="1" applyBorder="1" applyAlignment="1">
      <alignment horizontal="left" vertical="center" wrapText="1"/>
    </xf>
    <xf numFmtId="168" fontId="46" fillId="0" borderId="16" xfId="112" applyNumberFormat="1" applyFont="1" applyFill="1" applyBorder="1" applyAlignment="1">
      <alignment wrapText="1"/>
    </xf>
    <xf numFmtId="168" fontId="30" fillId="0" borderId="11" xfId="112" applyNumberFormat="1" applyFont="1" applyFill="1" applyBorder="1" applyAlignment="1">
      <alignment wrapText="1"/>
    </xf>
    <xf numFmtId="168" fontId="30" fillId="0" borderId="16" xfId="112" applyNumberFormat="1" applyFont="1" applyFill="1" applyBorder="1" applyAlignment="1">
      <alignment wrapText="1"/>
    </xf>
    <xf numFmtId="9" fontId="30" fillId="0" borderId="0" xfId="156" applyNumberFormat="1" applyAlignment="1">
      <alignment horizontal="left"/>
    </xf>
    <xf numFmtId="168" fontId="46" fillId="37" borderId="16" xfId="112" applyNumberFormat="1" applyFont="1" applyFill="1" applyBorder="1" applyAlignment="1">
      <alignment wrapText="1"/>
    </xf>
    <xf numFmtId="168" fontId="40" fillId="37" borderId="11" xfId="112" applyNumberFormat="1" applyFont="1" applyFill="1" applyBorder="1" applyAlignment="1">
      <alignment wrapText="1"/>
    </xf>
    <xf numFmtId="168" fontId="40" fillId="37" borderId="19" xfId="112" applyNumberFormat="1" applyFont="1" applyFill="1" applyBorder="1" applyAlignment="1">
      <alignment wrapText="1"/>
    </xf>
    <xf numFmtId="168" fontId="40" fillId="37" borderId="16" xfId="112" applyNumberFormat="1" applyFont="1" applyFill="1" applyBorder="1" applyAlignment="1">
      <alignment wrapText="1"/>
    </xf>
    <xf numFmtId="9" fontId="30" fillId="37" borderId="0" xfId="156" applyNumberFormat="1" applyFill="1" applyAlignment="1">
      <alignment horizontal="left"/>
    </xf>
    <xf numFmtId="0" fontId="30" fillId="37" borderId="0" xfId="156" applyFill="1"/>
    <xf numFmtId="0" fontId="30" fillId="0" borderId="19" xfId="156" applyFont="1" applyFill="1" applyBorder="1" applyAlignment="1">
      <alignment vertical="center" wrapText="1"/>
    </xf>
    <xf numFmtId="0" fontId="40" fillId="36" borderId="26" xfId="156" applyFont="1" applyFill="1" applyBorder="1" applyAlignment="1">
      <alignment wrapText="1"/>
    </xf>
    <xf numFmtId="0" fontId="40" fillId="36" borderId="27" xfId="156" applyFont="1" applyFill="1" applyBorder="1" applyAlignment="1">
      <alignment wrapText="1"/>
    </xf>
    <xf numFmtId="168" fontId="40" fillId="36" borderId="26" xfId="156" applyNumberFormat="1" applyFont="1" applyFill="1" applyBorder="1" applyAlignment="1">
      <alignment wrapText="1"/>
    </xf>
    <xf numFmtId="168" fontId="40" fillId="36" borderId="28" xfId="156" applyNumberFormat="1" applyFont="1" applyFill="1" applyBorder="1" applyAlignment="1">
      <alignment wrapText="1"/>
    </xf>
    <xf numFmtId="9" fontId="40" fillId="38" borderId="27" xfId="187" applyFont="1" applyFill="1" applyBorder="1" applyAlignment="1">
      <alignment horizontal="center" wrapText="1"/>
    </xf>
    <xf numFmtId="9" fontId="40" fillId="38" borderId="26" xfId="187" applyFont="1" applyFill="1" applyBorder="1" applyAlignment="1">
      <alignment horizontal="center"/>
    </xf>
    <xf numFmtId="0" fontId="30" fillId="0" borderId="0" xfId="156" applyFont="1" applyAlignment="1">
      <alignment wrapText="1"/>
    </xf>
    <xf numFmtId="0" fontId="30" fillId="0" borderId="0" xfId="156" applyFont="1"/>
    <xf numFmtId="0" fontId="30" fillId="0" borderId="0" xfId="156" applyFont="1" applyAlignment="1">
      <alignment horizontal="center"/>
    </xf>
    <xf numFmtId="168" fontId="30" fillId="0" borderId="0" xfId="156" applyNumberFormat="1" applyFont="1" applyAlignment="1">
      <alignment wrapText="1"/>
    </xf>
    <xf numFmtId="168" fontId="30" fillId="0" borderId="0" xfId="156" applyNumberFormat="1" applyFont="1"/>
    <xf numFmtId="0" fontId="30" fillId="0" borderId="0" xfId="156" applyAlignment="1">
      <alignment wrapText="1"/>
    </xf>
    <xf numFmtId="168" fontId="30" fillId="0" borderId="0" xfId="156" applyNumberFormat="1"/>
    <xf numFmtId="0" fontId="30" fillId="0" borderId="0" xfId="156" applyAlignment="1">
      <alignment horizontal="center"/>
    </xf>
    <xf numFmtId="0" fontId="1" fillId="0" borderId="0" xfId="146"/>
    <xf numFmtId="0" fontId="48" fillId="31" borderId="11" xfId="154" applyFont="1" applyFill="1" applyBorder="1" applyAlignment="1">
      <alignment wrapText="1"/>
    </xf>
    <xf numFmtId="0" fontId="48" fillId="31" borderId="11" xfId="154" applyFont="1" applyFill="1" applyBorder="1" applyAlignment="1">
      <alignment horizontal="center" wrapText="1"/>
    </xf>
    <xf numFmtId="167" fontId="49" fillId="31" borderId="11" xfId="83" applyFont="1" applyFill="1" applyBorder="1" applyAlignment="1">
      <alignment wrapText="1"/>
    </xf>
    <xf numFmtId="0" fontId="48" fillId="31" borderId="11" xfId="154" applyFont="1" applyFill="1" applyBorder="1" applyAlignment="1">
      <alignment horizontal="center" vertical="center" wrapText="1"/>
    </xf>
    <xf numFmtId="0" fontId="50" fillId="0" borderId="11" xfId="146" applyFont="1" applyFill="1" applyBorder="1" applyAlignment="1">
      <alignment horizontal="left" vertical="center" wrapText="1"/>
    </xf>
    <xf numFmtId="0" fontId="48" fillId="0" borderId="12" xfId="154" applyFont="1" applyFill="1" applyBorder="1" applyAlignment="1">
      <alignment horizontal="center" vertical="center" wrapText="1"/>
    </xf>
    <xf numFmtId="0" fontId="48" fillId="29" borderId="11" xfId="154" applyFont="1" applyFill="1" applyBorder="1" applyAlignment="1">
      <alignment horizontal="center" wrapText="1"/>
    </xf>
    <xf numFmtId="168" fontId="51" fillId="30" borderId="11" xfId="88" applyNumberFormat="1" applyFont="1" applyFill="1" applyBorder="1" applyAlignment="1">
      <alignment wrapText="1"/>
    </xf>
    <xf numFmtId="170" fontId="51" fillId="0" borderId="11" xfId="109" applyNumberFormat="1" applyFont="1" applyFill="1" applyBorder="1" applyAlignment="1">
      <alignment horizontal="center" vertical="center" wrapText="1"/>
    </xf>
    <xf numFmtId="168" fontId="50" fillId="0" borderId="11" xfId="83" applyNumberFormat="1" applyFont="1" applyBorder="1" applyAlignment="1">
      <alignment wrapText="1"/>
    </xf>
    <xf numFmtId="168" fontId="50" fillId="0" borderId="11" xfId="83" applyNumberFormat="1" applyFont="1" applyFill="1" applyBorder="1" applyAlignment="1"/>
    <xf numFmtId="168" fontId="51" fillId="0" borderId="11" xfId="83" applyNumberFormat="1" applyFont="1" applyBorder="1" applyAlignment="1">
      <alignment wrapText="1"/>
    </xf>
    <xf numFmtId="0" fontId="40" fillId="0" borderId="11" xfId="154" applyFont="1" applyFill="1" applyBorder="1" applyAlignment="1">
      <alignment horizontal="center" vertical="center" wrapText="1"/>
    </xf>
    <xf numFmtId="0" fontId="51" fillId="28" borderId="13" xfId="154" applyFont="1" applyFill="1" applyBorder="1" applyAlignment="1">
      <alignment horizontal="left" vertical="top" wrapText="1"/>
    </xf>
    <xf numFmtId="0" fontId="50" fillId="28" borderId="11" xfId="146" applyFont="1" applyFill="1" applyBorder="1" applyAlignment="1">
      <alignment horizontal="left" vertical="center" wrapText="1"/>
    </xf>
    <xf numFmtId="0" fontId="48" fillId="28" borderId="12" xfId="154" applyFont="1" applyFill="1" applyBorder="1" applyAlignment="1">
      <alignment horizontal="center" vertical="center" wrapText="1"/>
    </xf>
    <xf numFmtId="0" fontId="48" fillId="28" borderId="11" xfId="154" applyFont="1" applyFill="1" applyBorder="1" applyAlignment="1">
      <alignment horizontal="center" wrapText="1"/>
    </xf>
    <xf numFmtId="168" fontId="51" fillId="28" borderId="11" xfId="83" applyNumberFormat="1" applyFont="1" applyFill="1" applyBorder="1" applyAlignment="1">
      <alignment wrapText="1"/>
    </xf>
    <xf numFmtId="170" fontId="48" fillId="28" borderId="11" xfId="154" applyNumberFormat="1" applyFont="1" applyFill="1" applyBorder="1" applyAlignment="1">
      <alignment horizontal="center" vertical="center" wrapText="1"/>
    </xf>
    <xf numFmtId="0" fontId="51" fillId="29" borderId="11" xfId="154" applyFont="1" applyFill="1" applyBorder="1" applyAlignment="1">
      <alignment horizontal="center" wrapText="1"/>
    </xf>
    <xf numFmtId="0" fontId="48" fillId="28" borderId="11" xfId="154" applyFont="1" applyFill="1" applyBorder="1" applyAlignment="1">
      <alignment wrapText="1"/>
    </xf>
    <xf numFmtId="0" fontId="51" fillId="28" borderId="11" xfId="154" applyFont="1" applyFill="1" applyBorder="1" applyAlignment="1">
      <alignment wrapText="1"/>
    </xf>
    <xf numFmtId="168" fontId="51" fillId="28" borderId="11" xfId="83" applyNumberFormat="1" applyFont="1" applyFill="1" applyBorder="1"/>
    <xf numFmtId="168" fontId="48" fillId="28" borderId="11" xfId="83" applyNumberFormat="1" applyFont="1" applyFill="1" applyBorder="1"/>
    <xf numFmtId="0" fontId="51" fillId="0" borderId="11" xfId="146" applyFont="1" applyFill="1" applyBorder="1" applyAlignment="1">
      <alignment horizontal="left" vertical="center" wrapText="1"/>
    </xf>
    <xf numFmtId="0" fontId="51" fillId="30" borderId="11" xfId="154" applyFont="1" applyFill="1" applyBorder="1" applyAlignment="1">
      <alignment horizontal="center" wrapText="1"/>
    </xf>
    <xf numFmtId="0" fontId="51" fillId="30" borderId="11" xfId="146" applyFont="1" applyFill="1" applyBorder="1" applyAlignment="1">
      <alignment horizontal="left" vertical="center" wrapText="1"/>
    </xf>
    <xf numFmtId="0" fontId="50" fillId="30" borderId="11" xfId="146" applyFont="1" applyFill="1" applyBorder="1" applyAlignment="1">
      <alignment horizontal="left" vertical="center" wrapText="1"/>
    </xf>
    <xf numFmtId="0" fontId="51" fillId="0" borderId="11" xfId="154" applyFont="1" applyBorder="1" applyAlignment="1">
      <alignment wrapText="1"/>
    </xf>
    <xf numFmtId="0" fontId="51" fillId="0" borderId="11" xfId="154" applyFont="1" applyBorder="1" applyAlignment="1">
      <alignment horizontal="center" wrapText="1"/>
    </xf>
    <xf numFmtId="0" fontId="50" fillId="0" borderId="11" xfId="146" applyFont="1" applyBorder="1" applyAlignment="1">
      <alignment horizontal="left" vertical="center" wrapText="1"/>
    </xf>
    <xf numFmtId="0" fontId="50" fillId="0" borderId="12" xfId="146" applyFont="1" applyBorder="1" applyAlignment="1">
      <alignment horizontal="left" vertical="center" wrapText="1"/>
    </xf>
    <xf numFmtId="0" fontId="51" fillId="0" borderId="11" xfId="154" applyFont="1" applyFill="1" applyBorder="1" applyAlignment="1">
      <alignment horizontal="center" wrapText="1"/>
    </xf>
    <xf numFmtId="0" fontId="48" fillId="28" borderId="11" xfId="154" applyFont="1" applyFill="1" applyBorder="1" applyAlignment="1">
      <alignment horizontal="right" wrapText="1"/>
    </xf>
    <xf numFmtId="0" fontId="49" fillId="27" borderId="11" xfId="154" applyFont="1" applyFill="1" applyBorder="1" applyAlignment="1">
      <alignment horizontal="right" wrapText="1"/>
    </xf>
    <xf numFmtId="168" fontId="49" fillId="27" borderId="11" xfId="154" applyNumberFormat="1" applyFont="1" applyFill="1" applyBorder="1"/>
    <xf numFmtId="0" fontId="29" fillId="0" borderId="0" xfId="146" applyFont="1"/>
    <xf numFmtId="0" fontId="1" fillId="0" borderId="11" xfId="146" applyBorder="1" applyAlignment="1">
      <alignment wrapText="1"/>
    </xf>
    <xf numFmtId="170" fontId="30" fillId="0" borderId="11" xfId="109" applyNumberFormat="1" applyFont="1" applyBorder="1"/>
    <xf numFmtId="0" fontId="1" fillId="0" borderId="11" xfId="146" applyBorder="1" applyAlignment="1">
      <alignment horizontal="left" wrapText="1"/>
    </xf>
    <xf numFmtId="0" fontId="24" fillId="0" borderId="11" xfId="146" applyFont="1" applyBorder="1" applyAlignment="1">
      <alignment wrapText="1"/>
    </xf>
    <xf numFmtId="0" fontId="24" fillId="0" borderId="11" xfId="146" applyFont="1" applyFill="1" applyBorder="1" applyAlignment="1">
      <alignment wrapText="1"/>
    </xf>
    <xf numFmtId="170" fontId="29" fillId="0" borderId="11" xfId="109" applyNumberFormat="1" applyFont="1" applyBorder="1"/>
    <xf numFmtId="170" fontId="47" fillId="0" borderId="11" xfId="109" applyNumberFormat="1" applyFont="1" applyBorder="1" applyAlignment="1">
      <alignment horizontal="center" wrapText="1"/>
    </xf>
    <xf numFmtId="3" fontId="47" fillId="0" borderId="11" xfId="146" applyNumberFormat="1" applyFont="1" applyBorder="1" applyAlignment="1">
      <alignment horizontal="right" wrapText="1"/>
    </xf>
    <xf numFmtId="170" fontId="47" fillId="0" borderId="11" xfId="109" applyNumberFormat="1" applyFont="1" applyBorder="1" applyAlignment="1">
      <alignment horizontal="center" vertical="top" wrapText="1"/>
    </xf>
    <xf numFmtId="170" fontId="47" fillId="0" borderId="11" xfId="109" applyNumberFormat="1" applyFont="1" applyBorder="1" applyAlignment="1">
      <alignment horizontal="center" vertical="top"/>
    </xf>
    <xf numFmtId="170" fontId="47" fillId="0" borderId="11" xfId="109" applyNumberFormat="1" applyFont="1" applyBorder="1" applyAlignment="1">
      <alignment horizontal="center"/>
    </xf>
    <xf numFmtId="43" fontId="47" fillId="0" borderId="11" xfId="109" applyFont="1" applyBorder="1" applyAlignment="1">
      <alignment horizontal="right" wrapText="1"/>
    </xf>
    <xf numFmtId="170" fontId="47" fillId="0" borderId="11" xfId="146" applyNumberFormat="1" applyFont="1" applyBorder="1" applyAlignment="1">
      <alignment horizontal="center" wrapText="1"/>
    </xf>
    <xf numFmtId="168" fontId="47" fillId="0" borderId="11" xfId="146" applyNumberFormat="1" applyFont="1" applyBorder="1" applyAlignment="1">
      <alignment horizontal="center" wrapText="1"/>
    </xf>
    <xf numFmtId="168" fontId="52" fillId="0" borderId="11" xfId="146" applyNumberFormat="1" applyFont="1" applyFill="1" applyBorder="1" applyAlignment="1">
      <alignment horizontal="center" wrapText="1"/>
    </xf>
    <xf numFmtId="0" fontId="30" fillId="0" borderId="19" xfId="156" applyFont="1" applyFill="1" applyBorder="1" applyAlignment="1">
      <alignment horizontal="left" vertical="center" wrapText="1"/>
    </xf>
    <xf numFmtId="0" fontId="40" fillId="32" borderId="18" xfId="156" applyFont="1" applyFill="1" applyBorder="1" applyAlignment="1">
      <alignment horizontal="center" wrapText="1"/>
    </xf>
    <xf numFmtId="0" fontId="40" fillId="32" borderId="11" xfId="156" applyFont="1" applyFill="1" applyBorder="1" applyAlignment="1">
      <alignment horizontal="center" wrapText="1"/>
    </xf>
    <xf numFmtId="168" fontId="30" fillId="32" borderId="21" xfId="112" applyNumberFormat="1" applyFont="1" applyFill="1" applyBorder="1" applyAlignment="1">
      <alignment horizontal="right"/>
    </xf>
    <xf numFmtId="168" fontId="30" fillId="32" borderId="11" xfId="112" applyNumberFormat="1" applyFont="1" applyFill="1" applyBorder="1" applyAlignment="1">
      <alignment horizontal="right"/>
    </xf>
    <xf numFmtId="168" fontId="30" fillId="32" borderId="22" xfId="112" applyNumberFormat="1" applyFont="1" applyFill="1" applyBorder="1" applyAlignment="1">
      <alignment horizontal="right"/>
    </xf>
    <xf numFmtId="168" fontId="30" fillId="32" borderId="18" xfId="112" applyNumberFormat="1" applyFont="1" applyFill="1" applyBorder="1" applyAlignment="1">
      <alignment horizontal="right" wrapText="1"/>
    </xf>
    <xf numFmtId="168" fontId="30" fillId="32" borderId="16" xfId="112" applyNumberFormat="1" applyFont="1" applyFill="1" applyBorder="1" applyAlignment="1">
      <alignment wrapText="1"/>
    </xf>
    <xf numFmtId="168" fontId="30" fillId="32" borderId="11" xfId="112" applyNumberFormat="1" applyFont="1" applyFill="1" applyBorder="1" applyAlignment="1">
      <alignment wrapText="1"/>
    </xf>
    <xf numFmtId="168" fontId="46" fillId="32" borderId="16" xfId="112" applyNumberFormat="1" applyFont="1" applyFill="1" applyBorder="1" applyAlignment="1">
      <alignment wrapText="1"/>
    </xf>
    <xf numFmtId="0" fontId="40" fillId="39" borderId="18" xfId="156" applyFont="1" applyFill="1" applyBorder="1" applyAlignment="1">
      <alignment horizontal="center" wrapText="1"/>
    </xf>
    <xf numFmtId="0" fontId="40" fillId="39" borderId="11" xfId="156" applyFont="1" applyFill="1" applyBorder="1" applyAlignment="1">
      <alignment horizontal="center" wrapText="1"/>
    </xf>
    <xf numFmtId="0" fontId="40" fillId="39" borderId="17" xfId="156" applyFont="1" applyFill="1" applyBorder="1" applyAlignment="1">
      <alignment horizontal="center" wrapText="1"/>
    </xf>
    <xf numFmtId="168" fontId="30" fillId="39" borderId="12" xfId="112" applyNumberFormat="1" applyFont="1" applyFill="1" applyBorder="1" applyAlignment="1">
      <alignment horizontal="right"/>
    </xf>
    <xf numFmtId="168" fontId="30" fillId="39" borderId="12" xfId="112" applyNumberFormat="1" applyFont="1" applyFill="1" applyBorder="1" applyAlignment="1">
      <alignment horizontal="right" wrapText="1"/>
    </xf>
    <xf numFmtId="168" fontId="30" fillId="39" borderId="9" xfId="112" applyNumberFormat="1" applyFont="1" applyFill="1" applyBorder="1" applyAlignment="1">
      <alignment horizontal="right" wrapText="1"/>
    </xf>
    <xf numFmtId="168" fontId="30" fillId="39" borderId="11" xfId="112" applyNumberFormat="1" applyFont="1" applyFill="1" applyBorder="1" applyAlignment="1">
      <alignment horizontal="right" wrapText="1"/>
    </xf>
    <xf numFmtId="168" fontId="40" fillId="39" borderId="11" xfId="112" applyNumberFormat="1" applyFont="1" applyFill="1" applyBorder="1" applyAlignment="1">
      <alignment horizontal="right"/>
    </xf>
    <xf numFmtId="168" fontId="30" fillId="39" borderId="17" xfId="112" applyNumberFormat="1" applyFont="1" applyFill="1" applyBorder="1" applyAlignment="1">
      <alignment horizontal="right" wrapText="1"/>
    </xf>
    <xf numFmtId="168" fontId="30" fillId="39" borderId="11" xfId="112" applyNumberFormat="1" applyFont="1" applyFill="1" applyBorder="1" applyAlignment="1">
      <alignment wrapText="1"/>
    </xf>
    <xf numFmtId="168" fontId="40" fillId="39" borderId="16" xfId="112" applyNumberFormat="1" applyFont="1" applyFill="1" applyBorder="1" applyAlignment="1">
      <alignment wrapText="1"/>
    </xf>
    <xf numFmtId="168" fontId="40" fillId="39" borderId="28" xfId="156" applyNumberFormat="1" applyFont="1" applyFill="1" applyBorder="1" applyAlignment="1">
      <alignment wrapText="1"/>
    </xf>
    <xf numFmtId="168" fontId="40" fillId="40" borderId="26" xfId="156" applyNumberFormat="1" applyFont="1" applyFill="1" applyBorder="1" applyAlignment="1">
      <alignment wrapText="1"/>
    </xf>
    <xf numFmtId="0" fontId="40" fillId="41" borderId="18" xfId="156" applyFont="1" applyFill="1" applyBorder="1" applyAlignment="1">
      <alignment horizontal="center" wrapText="1"/>
    </xf>
    <xf numFmtId="0" fontId="40" fillId="41" borderId="11" xfId="156" applyFont="1" applyFill="1" applyBorder="1" applyAlignment="1">
      <alignment horizontal="center" wrapText="1"/>
    </xf>
    <xf numFmtId="0" fontId="40" fillId="41" borderId="17" xfId="156" applyFont="1" applyFill="1" applyBorder="1" applyAlignment="1">
      <alignment horizontal="center" wrapText="1"/>
    </xf>
    <xf numFmtId="168" fontId="30" fillId="41" borderId="12" xfId="112" applyNumberFormat="1" applyFont="1" applyFill="1" applyBorder="1" applyAlignment="1">
      <alignment horizontal="right" wrapText="1"/>
    </xf>
    <xf numFmtId="168" fontId="30" fillId="41" borderId="9" xfId="112" applyNumberFormat="1" applyFont="1" applyFill="1" applyBorder="1" applyAlignment="1">
      <alignment horizontal="right" wrapText="1"/>
    </xf>
    <xf numFmtId="168" fontId="30" fillId="41" borderId="17" xfId="112" applyNumberFormat="1" applyFont="1" applyFill="1" applyBorder="1" applyAlignment="1">
      <alignment horizontal="right" wrapText="1"/>
    </xf>
    <xf numFmtId="168" fontId="30" fillId="41" borderId="11" xfId="112" applyNumberFormat="1" applyFont="1" applyFill="1" applyBorder="1" applyAlignment="1">
      <alignment horizontal="right" wrapText="1"/>
    </xf>
    <xf numFmtId="168" fontId="40" fillId="41" borderId="11" xfId="112" applyNumberFormat="1" applyFont="1" applyFill="1" applyBorder="1" applyAlignment="1">
      <alignment horizontal="right"/>
    </xf>
    <xf numFmtId="168" fontId="30" fillId="41" borderId="11" xfId="112" applyNumberFormat="1" applyFont="1" applyFill="1" applyBorder="1" applyAlignment="1">
      <alignment wrapText="1"/>
    </xf>
    <xf numFmtId="168" fontId="40" fillId="41" borderId="16" xfId="112" applyNumberFormat="1" applyFont="1" applyFill="1" applyBorder="1" applyAlignment="1">
      <alignment wrapText="1"/>
    </xf>
    <xf numFmtId="168" fontId="40" fillId="41" borderId="26" xfId="156" applyNumberFormat="1" applyFont="1" applyFill="1" applyBorder="1" applyAlignment="1">
      <alignment wrapText="1"/>
    </xf>
    <xf numFmtId="168" fontId="33" fillId="27" borderId="11" xfId="88" applyNumberFormat="1" applyFont="1" applyFill="1" applyBorder="1" applyAlignment="1">
      <alignment wrapText="1"/>
    </xf>
    <xf numFmtId="0" fontId="40" fillId="0" borderId="11" xfId="156" applyFont="1" applyFill="1" applyBorder="1" applyAlignment="1">
      <alignment horizontal="center" wrapText="1"/>
    </xf>
    <xf numFmtId="0" fontId="40" fillId="0" borderId="16" xfId="156" applyFont="1" applyFill="1" applyBorder="1" applyAlignment="1">
      <alignment horizontal="center" wrapText="1"/>
    </xf>
    <xf numFmtId="168" fontId="44" fillId="32" borderId="26" xfId="156" applyNumberFormat="1" applyFont="1" applyFill="1" applyBorder="1" applyAlignment="1">
      <alignment wrapText="1"/>
    </xf>
    <xf numFmtId="0" fontId="40" fillId="0" borderId="26" xfId="156" applyFont="1" applyFill="1" applyBorder="1" applyAlignment="1">
      <alignment wrapText="1"/>
    </xf>
    <xf numFmtId="0" fontId="40" fillId="0" borderId="29" xfId="156" applyFont="1" applyFill="1" applyBorder="1" applyAlignment="1">
      <alignment wrapText="1"/>
    </xf>
    <xf numFmtId="168" fontId="44" fillId="32" borderId="30" xfId="156" applyNumberFormat="1" applyFont="1" applyFill="1" applyBorder="1" applyAlignment="1">
      <alignment wrapText="1"/>
    </xf>
    <xf numFmtId="168" fontId="40" fillId="41" borderId="31" xfId="156" applyNumberFormat="1" applyFont="1" applyFill="1" applyBorder="1" applyAlignment="1">
      <alignment wrapText="1"/>
    </xf>
    <xf numFmtId="0" fontId="30" fillId="0" borderId="11" xfId="156" applyBorder="1" applyAlignment="1">
      <alignment wrapText="1"/>
    </xf>
    <xf numFmtId="168" fontId="30" fillId="0" borderId="11" xfId="156" applyNumberFormat="1" applyBorder="1" applyAlignment="1">
      <alignment wrapText="1"/>
    </xf>
    <xf numFmtId="0" fontId="40" fillId="40" borderId="11" xfId="156" applyFont="1" applyFill="1" applyBorder="1" applyAlignment="1">
      <alignment wrapText="1"/>
    </xf>
    <xf numFmtId="165" fontId="30" fillId="0" borderId="11" xfId="82" applyNumberFormat="1" applyBorder="1" applyAlignment="1">
      <alignment wrapText="1"/>
    </xf>
    <xf numFmtId="0" fontId="40" fillId="40" borderId="16" xfId="156" applyFont="1" applyFill="1" applyBorder="1" applyAlignment="1">
      <alignment wrapText="1"/>
    </xf>
    <xf numFmtId="168" fontId="30" fillId="0" borderId="16" xfId="156" applyNumberFormat="1" applyBorder="1" applyAlignment="1">
      <alignment wrapText="1"/>
    </xf>
    <xf numFmtId="0" fontId="30" fillId="0" borderId="16" xfId="156" applyBorder="1" applyAlignment="1">
      <alignment wrapText="1"/>
    </xf>
    <xf numFmtId="168" fontId="30" fillId="0" borderId="18" xfId="156" applyNumberFormat="1" applyBorder="1" applyAlignment="1">
      <alignment wrapText="1"/>
    </xf>
    <xf numFmtId="168" fontId="30" fillId="0" borderId="19" xfId="156" applyNumberFormat="1" applyBorder="1"/>
    <xf numFmtId="0" fontId="30" fillId="0" borderId="18" xfId="156" applyBorder="1" applyAlignment="1">
      <alignment wrapText="1"/>
    </xf>
    <xf numFmtId="43" fontId="30" fillId="0" borderId="18" xfId="82" applyBorder="1" applyAlignment="1">
      <alignment wrapText="1"/>
    </xf>
    <xf numFmtId="43" fontId="30" fillId="0" borderId="16" xfId="82" applyBorder="1" applyAlignment="1">
      <alignment wrapText="1"/>
    </xf>
    <xf numFmtId="0" fontId="40" fillId="40" borderId="18" xfId="156" applyFont="1" applyFill="1" applyBorder="1" applyAlignment="1">
      <alignment wrapText="1"/>
    </xf>
    <xf numFmtId="0" fontId="40" fillId="40" borderId="19" xfId="156" applyFont="1" applyFill="1" applyBorder="1" applyAlignment="1">
      <alignment wrapText="1"/>
    </xf>
    <xf numFmtId="0" fontId="24" fillId="32" borderId="17" xfId="167" applyFont="1" applyFill="1" applyBorder="1" applyAlignment="1">
      <alignment wrapText="1"/>
    </xf>
    <xf numFmtId="0" fontId="24" fillId="32" borderId="17" xfId="167" applyFont="1" applyFill="1" applyBorder="1" applyAlignment="1">
      <alignment horizontal="left" wrapText="1"/>
    </xf>
    <xf numFmtId="168" fontId="40" fillId="32" borderId="32" xfId="156" applyNumberFormat="1" applyFont="1" applyFill="1" applyBorder="1" applyAlignment="1">
      <alignment wrapText="1"/>
    </xf>
    <xf numFmtId="168" fontId="40" fillId="32" borderId="16" xfId="156" applyNumberFormat="1" applyFont="1" applyFill="1" applyBorder="1" applyAlignment="1">
      <alignment wrapText="1"/>
    </xf>
    <xf numFmtId="168" fontId="40" fillId="32" borderId="11" xfId="156" applyNumberFormat="1" applyFont="1" applyFill="1" applyBorder="1" applyAlignment="1">
      <alignment wrapText="1"/>
    </xf>
    <xf numFmtId="168" fontId="30" fillId="32" borderId="33" xfId="156" applyNumberFormat="1" applyFill="1" applyBorder="1" applyAlignment="1">
      <alignment wrapText="1"/>
    </xf>
    <xf numFmtId="168" fontId="30" fillId="32" borderId="11" xfId="156" applyNumberFormat="1" applyFill="1" applyBorder="1" applyAlignment="1">
      <alignment wrapText="1"/>
    </xf>
    <xf numFmtId="0" fontId="40" fillId="0" borderId="0" xfId="156" applyFont="1" applyAlignment="1">
      <alignment wrapText="1"/>
    </xf>
    <xf numFmtId="9" fontId="30" fillId="0" borderId="0" xfId="185" applyAlignment="1">
      <alignment horizontal="center" wrapText="1"/>
    </xf>
    <xf numFmtId="168" fontId="40" fillId="39" borderId="18" xfId="112" applyNumberFormat="1" applyFont="1" applyFill="1" applyBorder="1" applyAlignment="1">
      <alignment wrapText="1"/>
    </xf>
    <xf numFmtId="168" fontId="44" fillId="32" borderId="11" xfId="112" applyNumberFormat="1" applyFont="1" applyFill="1" applyBorder="1" applyAlignment="1">
      <alignment horizontal="right"/>
    </xf>
    <xf numFmtId="168" fontId="40" fillId="32" borderId="11" xfId="112" applyNumberFormat="1" applyFont="1" applyFill="1" applyBorder="1" applyAlignment="1">
      <alignment horizontal="right"/>
    </xf>
    <xf numFmtId="9" fontId="40" fillId="41" borderId="11" xfId="185" applyFont="1" applyFill="1" applyBorder="1" applyAlignment="1">
      <alignment horizontal="center"/>
    </xf>
    <xf numFmtId="0" fontId="40" fillId="42" borderId="11" xfId="156" applyFont="1" applyFill="1" applyBorder="1" applyAlignment="1">
      <alignment horizontal="center" wrapText="1"/>
    </xf>
    <xf numFmtId="9" fontId="30" fillId="42" borderId="11" xfId="185" applyFont="1" applyFill="1" applyBorder="1" applyAlignment="1">
      <alignment horizontal="right" wrapText="1"/>
    </xf>
    <xf numFmtId="0" fontId="40" fillId="43" borderId="16" xfId="156" applyFont="1" applyFill="1" applyBorder="1" applyAlignment="1">
      <alignment horizontal="center" wrapText="1"/>
    </xf>
    <xf numFmtId="0" fontId="40" fillId="43" borderId="11" xfId="156" applyFont="1" applyFill="1" applyBorder="1" applyAlignment="1">
      <alignment horizontal="center" wrapText="1"/>
    </xf>
    <xf numFmtId="0" fontId="40" fillId="43" borderId="17" xfId="156" applyFont="1" applyFill="1" applyBorder="1" applyAlignment="1">
      <alignment horizontal="center" wrapText="1"/>
    </xf>
    <xf numFmtId="9" fontId="30" fillId="43" borderId="19" xfId="156" applyNumberFormat="1" applyFill="1" applyBorder="1"/>
    <xf numFmtId="9" fontId="30" fillId="43" borderId="16" xfId="185" applyFont="1" applyFill="1" applyBorder="1" applyAlignment="1">
      <alignment horizontal="right" wrapText="1"/>
    </xf>
    <xf numFmtId="9" fontId="30" fillId="43" borderId="11" xfId="185" applyFont="1" applyFill="1" applyBorder="1" applyAlignment="1">
      <alignment horizontal="right" wrapText="1"/>
    </xf>
    <xf numFmtId="9" fontId="30" fillId="43" borderId="17" xfId="185" applyFont="1" applyFill="1" applyBorder="1" applyAlignment="1">
      <alignment horizontal="right" wrapText="1"/>
    </xf>
    <xf numFmtId="0" fontId="40" fillId="37" borderId="34" xfId="156" applyFont="1" applyFill="1" applyBorder="1" applyAlignment="1">
      <alignment wrapText="1"/>
    </xf>
    <xf numFmtId="0" fontId="40" fillId="37" borderId="32" xfId="156" applyFont="1" applyFill="1" applyBorder="1" applyAlignment="1">
      <alignment horizontal="left" wrapText="1"/>
    </xf>
    <xf numFmtId="0" fontId="28" fillId="0" borderId="32" xfId="147" applyFont="1" applyFill="1" applyBorder="1" applyAlignment="1">
      <alignment vertical="center" wrapText="1"/>
    </xf>
    <xf numFmtId="0" fontId="28" fillId="0" borderId="35" xfId="147" applyFont="1" applyFill="1" applyBorder="1" applyAlignment="1">
      <alignment vertical="center" wrapText="1"/>
    </xf>
    <xf numFmtId="0" fontId="47" fillId="0" borderId="32" xfId="147" applyFont="1" applyFill="1" applyBorder="1" applyAlignment="1">
      <alignment vertical="center" wrapText="1"/>
    </xf>
    <xf numFmtId="0" fontId="28" fillId="0" borderId="32" xfId="147" applyFont="1" applyFill="1" applyBorder="1" applyAlignment="1">
      <alignment horizontal="left" vertical="center" wrapText="1"/>
    </xf>
    <xf numFmtId="0" fontId="30" fillId="0" borderId="36" xfId="156" applyFont="1" applyFill="1" applyBorder="1" applyAlignment="1">
      <alignment horizontal="left" vertical="center" wrapText="1"/>
    </xf>
    <xf numFmtId="168" fontId="30" fillId="42" borderId="37" xfId="112" applyNumberFormat="1" applyFont="1" applyFill="1" applyBorder="1" applyAlignment="1">
      <alignment wrapText="1"/>
    </xf>
    <xf numFmtId="9" fontId="30" fillId="42" borderId="37" xfId="185" applyFont="1" applyFill="1" applyBorder="1" applyAlignment="1">
      <alignment horizontal="right" wrapText="1"/>
    </xf>
    <xf numFmtId="168" fontId="30" fillId="43" borderId="38" xfId="112" applyNumberFormat="1" applyFont="1" applyFill="1" applyBorder="1" applyAlignment="1">
      <alignment wrapText="1"/>
    </xf>
    <xf numFmtId="168" fontId="30" fillId="43" borderId="37" xfId="112" applyNumberFormat="1" applyFont="1" applyFill="1" applyBorder="1" applyAlignment="1">
      <alignment wrapText="1"/>
    </xf>
    <xf numFmtId="9" fontId="30" fillId="43" borderId="39" xfId="185" applyFont="1" applyFill="1" applyBorder="1" applyAlignment="1">
      <alignment horizontal="right" wrapText="1"/>
    </xf>
    <xf numFmtId="0" fontId="40" fillId="0" borderId="17" xfId="156" applyFont="1" applyFill="1" applyBorder="1" applyAlignment="1">
      <alignment horizontal="left" wrapText="1"/>
    </xf>
    <xf numFmtId="0" fontId="40" fillId="0" borderId="15" xfId="156" applyFont="1" applyFill="1" applyBorder="1" applyAlignment="1">
      <alignment horizontal="left" wrapText="1"/>
    </xf>
    <xf numFmtId="9" fontId="30" fillId="32" borderId="22" xfId="185" applyFont="1" applyFill="1" applyBorder="1" applyAlignment="1">
      <alignment horizontal="right"/>
    </xf>
    <xf numFmtId="9" fontId="30" fillId="32" borderId="17" xfId="185" applyFont="1" applyFill="1" applyBorder="1" applyAlignment="1">
      <alignment horizontal="right" wrapText="1"/>
    </xf>
    <xf numFmtId="9" fontId="30" fillId="32" borderId="16" xfId="185" applyFont="1" applyFill="1" applyBorder="1" applyAlignment="1">
      <alignment horizontal="right" wrapText="1"/>
    </xf>
    <xf numFmtId="9" fontId="46" fillId="32" borderId="16" xfId="185" applyFont="1" applyFill="1" applyBorder="1" applyAlignment="1">
      <alignment wrapText="1"/>
    </xf>
    <xf numFmtId="9" fontId="30" fillId="32" borderId="22" xfId="185" applyFont="1" applyFill="1" applyBorder="1" applyAlignment="1">
      <alignment horizontal="center"/>
    </xf>
    <xf numFmtId="9" fontId="30" fillId="32" borderId="22" xfId="185" applyNumberFormat="1" applyFont="1" applyFill="1" applyBorder="1" applyAlignment="1">
      <alignment horizontal="center"/>
    </xf>
    <xf numFmtId="9" fontId="40" fillId="32" borderId="11" xfId="185" applyFont="1" applyFill="1" applyBorder="1" applyAlignment="1">
      <alignment horizontal="center"/>
    </xf>
    <xf numFmtId="9" fontId="44" fillId="32" borderId="26" xfId="185" applyFont="1" applyFill="1" applyBorder="1" applyAlignment="1">
      <alignment horizontal="center" wrapText="1"/>
    </xf>
    <xf numFmtId="9" fontId="30" fillId="32" borderId="16" xfId="185" applyFont="1" applyFill="1" applyBorder="1" applyAlignment="1">
      <alignment horizontal="center" wrapText="1"/>
    </xf>
    <xf numFmtId="0" fontId="40" fillId="40" borderId="15" xfId="156" applyFont="1" applyFill="1" applyBorder="1" applyAlignment="1">
      <alignment wrapText="1"/>
    </xf>
    <xf numFmtId="165" fontId="30" fillId="32" borderId="11" xfId="82" applyNumberFormat="1" applyFont="1" applyFill="1" applyBorder="1" applyAlignment="1">
      <alignment horizontal="center"/>
    </xf>
    <xf numFmtId="2" fontId="30" fillId="32" borderId="11" xfId="187" applyNumberFormat="1" applyFont="1" applyFill="1" applyBorder="1" applyAlignment="1">
      <alignment horizontal="center"/>
    </xf>
    <xf numFmtId="10" fontId="30" fillId="32" borderId="20" xfId="185" applyNumberFormat="1" applyFont="1" applyFill="1" applyBorder="1" applyAlignment="1">
      <alignment horizontal="center"/>
    </xf>
    <xf numFmtId="10" fontId="40" fillId="32" borderId="20" xfId="185" applyNumberFormat="1" applyFont="1" applyFill="1" applyBorder="1" applyAlignment="1">
      <alignment horizontal="right"/>
    </xf>
    <xf numFmtId="9" fontId="30" fillId="32" borderId="20" xfId="185" applyFont="1" applyFill="1" applyBorder="1" applyAlignment="1">
      <alignment horizontal="center"/>
    </xf>
    <xf numFmtId="9" fontId="46" fillId="32" borderId="20" xfId="185" applyFont="1" applyFill="1" applyBorder="1" applyAlignment="1">
      <alignment wrapText="1"/>
    </xf>
    <xf numFmtId="9" fontId="44" fillId="32" borderId="40" xfId="185" applyFont="1" applyFill="1" applyBorder="1" applyAlignment="1">
      <alignment horizontal="center" wrapText="1"/>
    </xf>
    <xf numFmtId="168" fontId="40" fillId="39" borderId="41" xfId="156" applyNumberFormat="1" applyFont="1" applyFill="1" applyBorder="1" applyAlignment="1">
      <alignment wrapText="1"/>
    </xf>
    <xf numFmtId="168" fontId="30" fillId="39" borderId="21" xfId="112" applyNumberFormat="1" applyFont="1" applyFill="1" applyBorder="1" applyAlignment="1">
      <alignment horizontal="right"/>
    </xf>
    <xf numFmtId="170" fontId="30" fillId="39" borderId="11" xfId="82" applyNumberFormat="1" applyFont="1" applyFill="1" applyBorder="1" applyAlignment="1">
      <alignment horizontal="center" wrapText="1"/>
    </xf>
    <xf numFmtId="168" fontId="30" fillId="39" borderId="18" xfId="112" applyNumberFormat="1" applyFont="1" applyFill="1" applyBorder="1" applyAlignment="1">
      <alignment horizontal="right" wrapText="1"/>
    </xf>
    <xf numFmtId="165" fontId="30" fillId="39" borderId="11" xfId="82" applyNumberFormat="1" applyFont="1" applyFill="1" applyBorder="1" applyAlignment="1">
      <alignment horizontal="center" wrapText="1"/>
    </xf>
    <xf numFmtId="168" fontId="40" fillId="39" borderId="18" xfId="112" applyNumberFormat="1" applyFont="1" applyFill="1" applyBorder="1" applyAlignment="1">
      <alignment horizontal="right"/>
    </xf>
    <xf numFmtId="9" fontId="30" fillId="39" borderId="11" xfId="187" applyFont="1" applyFill="1" applyBorder="1" applyAlignment="1">
      <alignment horizontal="center" wrapText="1"/>
    </xf>
    <xf numFmtId="168" fontId="30" fillId="39" borderId="18" xfId="112" applyNumberFormat="1" applyFont="1" applyFill="1" applyBorder="1" applyAlignment="1">
      <alignment wrapText="1"/>
    </xf>
    <xf numFmtId="168" fontId="40" fillId="39" borderId="30" xfId="156" applyNumberFormat="1" applyFont="1" applyFill="1" applyBorder="1" applyAlignment="1">
      <alignment wrapText="1"/>
    </xf>
    <xf numFmtId="9" fontId="30" fillId="39" borderId="11" xfId="185" applyFont="1" applyFill="1" applyBorder="1" applyAlignment="1">
      <alignment horizontal="right" wrapText="1"/>
    </xf>
    <xf numFmtId="9" fontId="40" fillId="39" borderId="16" xfId="185" applyFont="1" applyFill="1" applyBorder="1" applyAlignment="1">
      <alignment wrapText="1"/>
    </xf>
    <xf numFmtId="9" fontId="40" fillId="39" borderId="28" xfId="185" applyFont="1" applyFill="1" applyBorder="1" applyAlignment="1">
      <alignment horizontal="center" wrapText="1"/>
    </xf>
    <xf numFmtId="9" fontId="40" fillId="39" borderId="11" xfId="185" applyFont="1" applyFill="1" applyBorder="1" applyAlignment="1">
      <alignment horizontal="center"/>
    </xf>
    <xf numFmtId="9" fontId="30" fillId="39" borderId="17" xfId="185" applyFont="1" applyFill="1" applyBorder="1" applyAlignment="1">
      <alignment horizontal="center" wrapText="1"/>
    </xf>
    <xf numFmtId="9" fontId="30" fillId="39" borderId="11" xfId="185" applyFont="1" applyFill="1" applyBorder="1" applyAlignment="1">
      <alignment horizontal="center" wrapText="1"/>
    </xf>
    <xf numFmtId="9" fontId="30" fillId="39" borderId="12" xfId="185" applyFont="1" applyFill="1" applyBorder="1" applyAlignment="1">
      <alignment horizontal="center"/>
    </xf>
    <xf numFmtId="0" fontId="40" fillId="39" borderId="20" xfId="156" applyFont="1" applyFill="1" applyBorder="1" applyAlignment="1">
      <alignment horizontal="center" wrapText="1"/>
    </xf>
    <xf numFmtId="9" fontId="30" fillId="39" borderId="42" xfId="185" applyFont="1" applyFill="1" applyBorder="1" applyAlignment="1">
      <alignment horizontal="center" wrapText="1"/>
    </xf>
    <xf numFmtId="9" fontId="30" fillId="39" borderId="20" xfId="185" applyFont="1" applyFill="1" applyBorder="1" applyAlignment="1">
      <alignment horizontal="center" wrapText="1"/>
    </xf>
    <xf numFmtId="9" fontId="40" fillId="39" borderId="20" xfId="185" applyFont="1" applyFill="1" applyBorder="1" applyAlignment="1">
      <alignment horizontal="center"/>
    </xf>
    <xf numFmtId="9" fontId="40" fillId="39" borderId="20" xfId="185" applyFont="1" applyFill="1" applyBorder="1" applyAlignment="1">
      <alignment wrapText="1"/>
    </xf>
    <xf numFmtId="9" fontId="40" fillId="39" borderId="40" xfId="185" applyFont="1" applyFill="1" applyBorder="1" applyAlignment="1">
      <alignment horizontal="center" wrapText="1"/>
    </xf>
    <xf numFmtId="165" fontId="30" fillId="41" borderId="17" xfId="82" applyNumberFormat="1" applyFont="1" applyFill="1" applyBorder="1" applyAlignment="1">
      <alignment horizontal="center" wrapText="1"/>
    </xf>
    <xf numFmtId="168" fontId="40" fillId="41" borderId="17" xfId="112" applyNumberFormat="1" applyFont="1" applyFill="1" applyBorder="1" applyAlignment="1">
      <alignment horizontal="right"/>
    </xf>
    <xf numFmtId="9" fontId="30" fillId="41" borderId="17" xfId="187" applyFont="1" applyFill="1" applyBorder="1" applyAlignment="1">
      <alignment horizontal="center" wrapText="1"/>
    </xf>
    <xf numFmtId="165" fontId="30" fillId="41" borderId="17" xfId="187" applyNumberFormat="1" applyFont="1" applyFill="1" applyBorder="1" applyAlignment="1">
      <alignment horizontal="center" wrapText="1"/>
    </xf>
    <xf numFmtId="168" fontId="40" fillId="41" borderId="29" xfId="156" applyNumberFormat="1" applyFont="1" applyFill="1" applyBorder="1" applyAlignment="1">
      <alignment wrapText="1"/>
    </xf>
    <xf numFmtId="9" fontId="30" fillId="41" borderId="9" xfId="185" applyFont="1" applyFill="1" applyBorder="1" applyAlignment="1">
      <alignment horizontal="center" wrapText="1"/>
    </xf>
    <xf numFmtId="9" fontId="30" fillId="41" borderId="17" xfId="185" applyFont="1" applyFill="1" applyBorder="1" applyAlignment="1">
      <alignment horizontal="center" wrapText="1"/>
    </xf>
    <xf numFmtId="9" fontId="30" fillId="41" borderId="11" xfId="185" applyFont="1" applyFill="1" applyBorder="1" applyAlignment="1">
      <alignment horizontal="center" wrapText="1"/>
    </xf>
    <xf numFmtId="9" fontId="40" fillId="41" borderId="16" xfId="185" applyFont="1" applyFill="1" applyBorder="1" applyAlignment="1">
      <alignment horizontal="center" wrapText="1"/>
    </xf>
    <xf numFmtId="9" fontId="40" fillId="41" borderId="26" xfId="185" applyFont="1" applyFill="1" applyBorder="1" applyAlignment="1">
      <alignment horizontal="center" wrapText="1"/>
    </xf>
    <xf numFmtId="0" fontId="40" fillId="41" borderId="19" xfId="156" applyFont="1" applyFill="1" applyBorder="1" applyAlignment="1">
      <alignment wrapText="1"/>
    </xf>
    <xf numFmtId="168" fontId="30" fillId="41" borderId="33" xfId="112" applyNumberFormat="1" applyFont="1" applyFill="1" applyBorder="1" applyAlignment="1"/>
    <xf numFmtId="9" fontId="40" fillId="41" borderId="19" xfId="185" applyFont="1" applyFill="1" applyBorder="1" applyAlignment="1">
      <alignment horizontal="center"/>
    </xf>
    <xf numFmtId="168" fontId="30" fillId="41" borderId="32" xfId="112" applyNumberFormat="1" applyFont="1" applyFill="1" applyBorder="1" applyAlignment="1">
      <alignment horizontal="right" wrapText="1"/>
    </xf>
    <xf numFmtId="168" fontId="40" fillId="41" borderId="18" xfId="112" applyNumberFormat="1" applyFont="1" applyFill="1" applyBorder="1" applyAlignment="1">
      <alignment horizontal="right"/>
    </xf>
    <xf numFmtId="168" fontId="30" fillId="41" borderId="18" xfId="112" applyNumberFormat="1" applyFont="1" applyFill="1" applyBorder="1" applyAlignment="1">
      <alignment horizontal="right" wrapText="1"/>
    </xf>
    <xf numFmtId="168" fontId="30" fillId="41" borderId="18" xfId="112" applyNumberFormat="1" applyFont="1" applyFill="1" applyBorder="1" applyAlignment="1">
      <alignment wrapText="1"/>
    </xf>
    <xf numFmtId="168" fontId="40" fillId="41" borderId="18" xfId="112" applyNumberFormat="1" applyFont="1" applyFill="1" applyBorder="1" applyAlignment="1">
      <alignment wrapText="1"/>
    </xf>
    <xf numFmtId="9" fontId="40" fillId="41" borderId="27" xfId="185" applyFont="1" applyFill="1" applyBorder="1" applyAlignment="1">
      <alignment horizontal="center"/>
    </xf>
    <xf numFmtId="0" fontId="40" fillId="40" borderId="20" xfId="156" applyFont="1" applyFill="1" applyBorder="1" applyAlignment="1">
      <alignment wrapText="1"/>
    </xf>
    <xf numFmtId="168" fontId="30" fillId="32" borderId="42" xfId="156" applyNumberFormat="1" applyFill="1" applyBorder="1" applyAlignment="1">
      <alignment wrapText="1"/>
    </xf>
    <xf numFmtId="0" fontId="40" fillId="40" borderId="29" xfId="156" applyFont="1" applyFill="1" applyBorder="1" applyAlignment="1">
      <alignment wrapText="1"/>
    </xf>
    <xf numFmtId="168" fontId="30" fillId="32" borderId="16" xfId="156" applyNumberFormat="1" applyFill="1" applyBorder="1" applyAlignment="1">
      <alignment wrapText="1"/>
    </xf>
    <xf numFmtId="0" fontId="24" fillId="32" borderId="19" xfId="167" applyFont="1" applyFill="1" applyBorder="1" applyAlignment="1">
      <alignment wrapText="1"/>
    </xf>
    <xf numFmtId="0" fontId="24" fillId="32" borderId="19" xfId="167" applyFont="1" applyFill="1" applyBorder="1" applyAlignment="1">
      <alignment horizontal="left" wrapText="1"/>
    </xf>
    <xf numFmtId="0" fontId="40" fillId="40" borderId="25" xfId="156" applyFont="1" applyFill="1" applyBorder="1" applyAlignment="1">
      <alignment wrapText="1"/>
    </xf>
    <xf numFmtId="168" fontId="40" fillId="40" borderId="24" xfId="156" applyNumberFormat="1" applyFont="1" applyFill="1" applyBorder="1" applyAlignment="1">
      <alignment wrapText="1"/>
    </xf>
    <xf numFmtId="168" fontId="40" fillId="40" borderId="12" xfId="156" applyNumberFormat="1" applyFont="1" applyFill="1" applyBorder="1" applyAlignment="1">
      <alignment wrapText="1"/>
    </xf>
    <xf numFmtId="168" fontId="40" fillId="40" borderId="33" xfId="156" applyNumberFormat="1" applyFont="1" applyFill="1" applyBorder="1" applyAlignment="1">
      <alignment wrapText="1"/>
    </xf>
    <xf numFmtId="168" fontId="40" fillId="40" borderId="42" xfId="156" applyNumberFormat="1" applyFont="1" applyFill="1" applyBorder="1" applyAlignment="1">
      <alignment wrapText="1"/>
    </xf>
    <xf numFmtId="0" fontId="40" fillId="39" borderId="40" xfId="156" applyFont="1" applyFill="1" applyBorder="1" applyAlignment="1">
      <alignment wrapText="1"/>
    </xf>
    <xf numFmtId="168" fontId="40" fillId="39" borderId="31" xfId="156" applyNumberFormat="1" applyFont="1" applyFill="1" applyBorder="1" applyAlignment="1">
      <alignment wrapText="1"/>
    </xf>
    <xf numFmtId="168" fontId="40" fillId="39" borderId="40" xfId="156" applyNumberFormat="1" applyFont="1" applyFill="1" applyBorder="1" applyAlignment="1">
      <alignment wrapText="1"/>
    </xf>
    <xf numFmtId="168" fontId="40" fillId="32" borderId="19" xfId="156" applyNumberFormat="1" applyFont="1" applyFill="1" applyBorder="1" applyAlignment="1">
      <alignment wrapText="1"/>
    </xf>
    <xf numFmtId="0" fontId="40" fillId="0" borderId="0" xfId="156" applyFont="1" applyFill="1" applyBorder="1" applyAlignment="1">
      <alignment horizontal="center" wrapText="1"/>
    </xf>
    <xf numFmtId="0" fontId="40" fillId="0" borderId="0" xfId="156" applyFont="1" applyFill="1" applyBorder="1" applyAlignment="1">
      <alignment wrapText="1"/>
    </xf>
    <xf numFmtId="168" fontId="30" fillId="0" borderId="0" xfId="156" applyNumberFormat="1" applyFill="1" applyBorder="1"/>
    <xf numFmtId="168" fontId="40" fillId="0" borderId="0" xfId="156" applyNumberFormat="1" applyFont="1" applyFill="1" applyBorder="1" applyAlignment="1">
      <alignment wrapText="1"/>
    </xf>
    <xf numFmtId="168" fontId="30" fillId="0" borderId="0" xfId="156" applyNumberFormat="1" applyFill="1" applyBorder="1" applyAlignment="1">
      <alignment wrapText="1"/>
    </xf>
    <xf numFmtId="171" fontId="30" fillId="32" borderId="42" xfId="185" applyNumberFormat="1" applyFont="1" applyFill="1" applyBorder="1" applyAlignment="1">
      <alignment horizontal="center"/>
    </xf>
    <xf numFmtId="171" fontId="30" fillId="32" borderId="20" xfId="185" applyNumberFormat="1" applyFont="1" applyFill="1" applyBorder="1" applyAlignment="1">
      <alignment horizontal="center"/>
    </xf>
    <xf numFmtId="168" fontId="40" fillId="39" borderId="26" xfId="156" applyNumberFormat="1" applyFont="1" applyFill="1" applyBorder="1" applyAlignment="1">
      <alignment wrapText="1"/>
    </xf>
    <xf numFmtId="168" fontId="30" fillId="32" borderId="19" xfId="156" applyNumberFormat="1" applyFill="1" applyBorder="1" applyAlignment="1">
      <alignment wrapText="1"/>
    </xf>
    <xf numFmtId="168" fontId="40" fillId="40" borderId="27" xfId="156" applyNumberFormat="1" applyFont="1" applyFill="1" applyBorder="1" applyAlignment="1">
      <alignment wrapText="1"/>
    </xf>
    <xf numFmtId="168" fontId="40" fillId="40" borderId="31" xfId="156" applyNumberFormat="1" applyFont="1" applyFill="1" applyBorder="1" applyAlignment="1">
      <alignment wrapText="1"/>
    </xf>
    <xf numFmtId="168" fontId="40" fillId="40" borderId="40" xfId="156" applyNumberFormat="1" applyFont="1" applyFill="1" applyBorder="1" applyAlignment="1">
      <alignment wrapText="1"/>
    </xf>
    <xf numFmtId="168" fontId="40" fillId="32" borderId="18" xfId="156" applyNumberFormat="1" applyFont="1" applyFill="1" applyBorder="1" applyAlignment="1">
      <alignment wrapText="1"/>
    </xf>
    <xf numFmtId="168" fontId="30" fillId="32" borderId="18" xfId="156" applyNumberFormat="1" applyFill="1" applyBorder="1" applyAlignment="1">
      <alignment wrapText="1"/>
    </xf>
    <xf numFmtId="168" fontId="40" fillId="40" borderId="30" xfId="156" applyNumberFormat="1" applyFont="1" applyFill="1" applyBorder="1" applyAlignment="1">
      <alignment wrapText="1"/>
    </xf>
    <xf numFmtId="0" fontId="24" fillId="0" borderId="19" xfId="167" applyFont="1" applyFill="1" applyBorder="1" applyAlignment="1">
      <alignment horizontal="left" vertical="center" wrapText="1"/>
    </xf>
    <xf numFmtId="0" fontId="40" fillId="43" borderId="15" xfId="156" applyFont="1" applyFill="1" applyBorder="1" applyAlignment="1">
      <alignment horizontal="center" vertical="center" wrapText="1"/>
    </xf>
    <xf numFmtId="168" fontId="37" fillId="27" borderId="43" xfId="88" applyNumberFormat="1" applyFont="1" applyFill="1" applyBorder="1" applyAlignment="1">
      <alignment wrapText="1"/>
    </xf>
    <xf numFmtId="168" fontId="33" fillId="27" borderId="44" xfId="88" applyNumberFormat="1" applyFont="1" applyFill="1" applyBorder="1" applyAlignment="1">
      <alignment wrapText="1"/>
    </xf>
    <xf numFmtId="0" fontId="40" fillId="43" borderId="15" xfId="156" applyFont="1" applyFill="1" applyBorder="1" applyAlignment="1">
      <alignment horizontal="center" wrapText="1"/>
    </xf>
    <xf numFmtId="0" fontId="40" fillId="43" borderId="24" xfId="156" applyFont="1" applyFill="1" applyBorder="1" applyAlignment="1">
      <alignment horizontal="center" wrapText="1"/>
    </xf>
    <xf numFmtId="0" fontId="45" fillId="43" borderId="24" xfId="156" applyFont="1" applyFill="1" applyBorder="1" applyAlignment="1">
      <alignment horizontal="center" wrapText="1"/>
    </xf>
    <xf numFmtId="168" fontId="30" fillId="43" borderId="24" xfId="187" applyNumberFormat="1" applyFont="1" applyFill="1" applyBorder="1" applyAlignment="1">
      <alignment horizontal="center" wrapText="1"/>
    </xf>
    <xf numFmtId="168" fontId="40" fillId="43" borderId="45" xfId="112" applyNumberFormat="1" applyFont="1" applyFill="1" applyBorder="1" applyAlignment="1">
      <alignment horizontal="right"/>
    </xf>
    <xf numFmtId="168" fontId="40" fillId="37" borderId="16" xfId="112" applyNumberFormat="1" applyFont="1" applyFill="1" applyBorder="1" applyAlignment="1">
      <alignment horizontal="right"/>
    </xf>
    <xf numFmtId="0" fontId="24" fillId="0" borderId="20" xfId="167" applyFont="1" applyFill="1" applyBorder="1" applyAlignment="1">
      <alignment horizontal="left" vertical="center" wrapText="1"/>
    </xf>
    <xf numFmtId="9" fontId="30" fillId="38" borderId="45" xfId="187" applyFont="1" applyFill="1" applyBorder="1" applyAlignment="1">
      <alignment horizontal="center" wrapText="1"/>
    </xf>
    <xf numFmtId="9" fontId="30" fillId="43" borderId="45" xfId="187" applyFont="1" applyFill="1" applyBorder="1" applyAlignment="1">
      <alignment horizontal="center" wrapText="1"/>
    </xf>
    <xf numFmtId="168" fontId="30" fillId="43" borderId="45" xfId="187" applyNumberFormat="1" applyFont="1" applyFill="1" applyBorder="1" applyAlignment="1">
      <alignment horizontal="center" wrapText="1"/>
    </xf>
    <xf numFmtId="0" fontId="24" fillId="0" borderId="11" xfId="167" applyFont="1" applyFill="1" applyBorder="1" applyAlignment="1">
      <alignment wrapText="1"/>
    </xf>
    <xf numFmtId="168" fontId="44" fillId="37" borderId="16" xfId="112" applyNumberFormat="1" applyFont="1" applyFill="1" applyBorder="1" applyAlignment="1">
      <alignment horizontal="right" wrapText="1"/>
    </xf>
    <xf numFmtId="168" fontId="40" fillId="37" borderId="11" xfId="112" applyNumberFormat="1" applyFont="1" applyFill="1" applyBorder="1" applyAlignment="1">
      <alignment horizontal="right" wrapText="1"/>
    </xf>
    <xf numFmtId="9" fontId="40" fillId="38" borderId="19" xfId="187" applyFont="1" applyFill="1" applyBorder="1" applyAlignment="1">
      <alignment horizontal="center" wrapText="1"/>
    </xf>
    <xf numFmtId="168" fontId="40" fillId="37" borderId="16" xfId="112" applyNumberFormat="1" applyFont="1" applyFill="1" applyBorder="1" applyAlignment="1">
      <alignment horizontal="right" wrapText="1"/>
    </xf>
    <xf numFmtId="168" fontId="40" fillId="43" borderId="45" xfId="187" applyNumberFormat="1" applyFont="1" applyFill="1" applyBorder="1" applyAlignment="1">
      <alignment horizontal="center" wrapText="1"/>
    </xf>
    <xf numFmtId="168" fontId="40" fillId="37" borderId="19" xfId="112" applyNumberFormat="1" applyFont="1" applyFill="1" applyBorder="1" applyAlignment="1">
      <alignment horizontal="center" wrapText="1"/>
    </xf>
    <xf numFmtId="168" fontId="44" fillId="36" borderId="41" xfId="156" applyNumberFormat="1" applyFont="1" applyFill="1" applyBorder="1" applyAlignment="1">
      <alignment wrapText="1"/>
    </xf>
    <xf numFmtId="9" fontId="40" fillId="38" borderId="40" xfId="187" applyFont="1" applyFill="1" applyBorder="1" applyAlignment="1">
      <alignment horizontal="center" wrapText="1"/>
    </xf>
    <xf numFmtId="168" fontId="40" fillId="36" borderId="41" xfId="156" applyNumberFormat="1" applyFont="1" applyFill="1" applyBorder="1" applyAlignment="1">
      <alignment wrapText="1"/>
    </xf>
    <xf numFmtId="168" fontId="40" fillId="43" borderId="46" xfId="187" applyNumberFormat="1" applyFont="1" applyFill="1" applyBorder="1" applyAlignment="1">
      <alignment horizontal="center" wrapText="1"/>
    </xf>
    <xf numFmtId="168" fontId="30" fillId="0" borderId="0" xfId="156" applyNumberFormat="1" applyAlignment="1">
      <alignment wrapText="1"/>
    </xf>
    <xf numFmtId="0" fontId="40" fillId="0" borderId="0" xfId="156" applyFont="1" applyBorder="1" applyAlignment="1">
      <alignment horizontal="center" wrapText="1"/>
    </xf>
    <xf numFmtId="0" fontId="40" fillId="44" borderId="11" xfId="156" applyFont="1" applyFill="1" applyBorder="1" applyAlignment="1">
      <alignment wrapText="1"/>
    </xf>
    <xf numFmtId="0" fontId="30" fillId="0" borderId="0" xfId="156" applyFill="1" applyBorder="1"/>
    <xf numFmtId="0" fontId="30" fillId="0" borderId="0" xfId="156" applyBorder="1"/>
    <xf numFmtId="0" fontId="30" fillId="0" borderId="11" xfId="156" applyFont="1" applyBorder="1" applyAlignment="1">
      <alignment wrapText="1"/>
    </xf>
    <xf numFmtId="168" fontId="30" fillId="0" borderId="11" xfId="156" applyNumberFormat="1" applyFont="1" applyBorder="1" applyAlignment="1">
      <alignment wrapText="1"/>
    </xf>
    <xf numFmtId="168" fontId="30" fillId="0" borderId="0" xfId="156" applyNumberFormat="1" applyFont="1" applyBorder="1" applyAlignment="1">
      <alignment wrapText="1"/>
    </xf>
    <xf numFmtId="0" fontId="40" fillId="45" borderId="11" xfId="156" applyFont="1" applyFill="1" applyBorder="1" applyAlignment="1">
      <alignment wrapText="1"/>
    </xf>
    <xf numFmtId="168" fontId="40" fillId="45" borderId="11" xfId="156" applyNumberFormat="1" applyFont="1" applyFill="1" applyBorder="1" applyAlignment="1">
      <alignment wrapText="1"/>
    </xf>
    <xf numFmtId="9" fontId="40" fillId="45" borderId="11" xfId="187" applyFont="1" applyFill="1" applyBorder="1" applyAlignment="1">
      <alignment wrapText="1"/>
    </xf>
    <xf numFmtId="9" fontId="40" fillId="0" borderId="0" xfId="187" applyFont="1" applyFill="1" applyBorder="1" applyAlignment="1">
      <alignment wrapText="1"/>
    </xf>
    <xf numFmtId="0" fontId="40" fillId="45" borderId="11" xfId="156" applyNumberFormat="1" applyFont="1" applyFill="1" applyBorder="1" applyAlignment="1">
      <alignment wrapText="1"/>
    </xf>
    <xf numFmtId="169" fontId="40" fillId="45" borderId="11" xfId="111" applyNumberFormat="1" applyFont="1" applyFill="1" applyBorder="1" applyAlignment="1">
      <alignment wrapText="1"/>
    </xf>
    <xf numFmtId="0" fontId="40" fillId="0" borderId="0" xfId="187" applyNumberFormat="1" applyFont="1" applyFill="1" applyBorder="1" applyAlignment="1">
      <alignment wrapText="1"/>
    </xf>
    <xf numFmtId="168" fontId="40" fillId="45" borderId="11" xfId="187" applyNumberFormat="1" applyFont="1" applyFill="1" applyBorder="1" applyAlignment="1">
      <alignment wrapText="1"/>
    </xf>
    <xf numFmtId="0" fontId="30" fillId="0" borderId="11" xfId="156" applyBorder="1"/>
    <xf numFmtId="0" fontId="40" fillId="30" borderId="11" xfId="156" applyFont="1" applyFill="1" applyBorder="1" applyAlignment="1">
      <alignment wrapText="1"/>
    </xf>
    <xf numFmtId="9" fontId="40" fillId="30" borderId="11" xfId="187" applyFont="1" applyFill="1" applyBorder="1" applyAlignment="1">
      <alignment wrapText="1"/>
    </xf>
    <xf numFmtId="0" fontId="0" fillId="0" borderId="0" xfId="0" applyFill="1" applyBorder="1"/>
    <xf numFmtId="0" fontId="30" fillId="28" borderId="11" xfId="156" applyFont="1" applyFill="1" applyBorder="1" applyAlignment="1">
      <alignment wrapText="1"/>
    </xf>
    <xf numFmtId="168" fontId="30" fillId="28" borderId="11" xfId="156" applyNumberFormat="1" applyFont="1" applyFill="1" applyBorder="1" applyAlignment="1">
      <alignment wrapText="1"/>
    </xf>
    <xf numFmtId="168" fontId="30" fillId="0" borderId="0" xfId="156" applyNumberFormat="1" applyFont="1" applyFill="1" applyBorder="1" applyAlignment="1">
      <alignment wrapText="1"/>
    </xf>
    <xf numFmtId="0" fontId="40" fillId="28" borderId="11" xfId="156" applyFont="1" applyFill="1" applyBorder="1" applyAlignment="1">
      <alignment wrapText="1"/>
    </xf>
    <xf numFmtId="168" fontId="40" fillId="28" borderId="11" xfId="156" applyNumberFormat="1" applyFont="1" applyFill="1" applyBorder="1" applyAlignment="1">
      <alignment wrapText="1"/>
    </xf>
    <xf numFmtId="0" fontId="30" fillId="30" borderId="11" xfId="156" applyFont="1" applyFill="1" applyBorder="1" applyAlignment="1">
      <alignment wrapText="1"/>
    </xf>
    <xf numFmtId="168" fontId="30" fillId="30" borderId="11" xfId="156" applyNumberFormat="1" applyFont="1" applyFill="1" applyBorder="1" applyAlignment="1">
      <alignment wrapText="1"/>
    </xf>
    <xf numFmtId="168" fontId="40" fillId="39" borderId="0" xfId="156" applyNumberFormat="1" applyFont="1" applyFill="1" applyBorder="1" applyAlignment="1">
      <alignment wrapText="1"/>
    </xf>
    <xf numFmtId="0" fontId="40" fillId="39" borderId="0" xfId="156" applyFont="1" applyFill="1"/>
    <xf numFmtId="0" fontId="40" fillId="27" borderId="11" xfId="156" applyFont="1" applyFill="1" applyBorder="1" applyAlignment="1">
      <alignment wrapText="1"/>
    </xf>
    <xf numFmtId="168" fontId="40" fillId="27" borderId="11" xfId="156" applyNumberFormat="1" applyFont="1" applyFill="1" applyBorder="1" applyAlignment="1">
      <alignment wrapText="1"/>
    </xf>
    <xf numFmtId="169" fontId="40" fillId="39" borderId="0" xfId="111" applyNumberFormat="1" applyFont="1" applyFill="1"/>
    <xf numFmtId="168" fontId="40" fillId="39" borderId="0" xfId="156" applyNumberFormat="1" applyFont="1" applyFill="1"/>
    <xf numFmtId="0" fontId="40" fillId="46" borderId="11" xfId="156" applyFont="1" applyFill="1" applyBorder="1" applyAlignment="1">
      <alignment wrapText="1"/>
    </xf>
    <xf numFmtId="9" fontId="40" fillId="46" borderId="11" xfId="187" applyFont="1" applyFill="1" applyBorder="1" applyAlignment="1">
      <alignment wrapText="1"/>
    </xf>
    <xf numFmtId="168" fontId="40" fillId="0" borderId="0" xfId="187" applyNumberFormat="1" applyFont="1" applyFill="1" applyBorder="1" applyAlignment="1">
      <alignment wrapText="1"/>
    </xf>
    <xf numFmtId="0" fontId="36" fillId="0" borderId="11" xfId="0" applyFont="1" applyFill="1" applyBorder="1" applyAlignment="1">
      <alignment horizontal="left" vertical="top" wrapText="1"/>
    </xf>
    <xf numFmtId="168" fontId="37" fillId="27" borderId="11" xfId="88" applyNumberFormat="1" applyFont="1" applyFill="1" applyBorder="1" applyAlignment="1">
      <alignment wrapText="1"/>
    </xf>
    <xf numFmtId="0" fontId="36" fillId="0" borderId="11" xfId="0" applyFont="1" applyFill="1" applyBorder="1" applyAlignment="1">
      <alignment horizontal="left"/>
    </xf>
    <xf numFmtId="0" fontId="36" fillId="0" borderId="11" xfId="0" applyFont="1" applyFill="1" applyBorder="1" applyAlignment="1">
      <alignment horizontal="left" wrapText="1"/>
    </xf>
    <xf numFmtId="168" fontId="36" fillId="0" borderId="11" xfId="83" applyNumberFormat="1" applyFont="1" applyFill="1" applyBorder="1" applyAlignment="1">
      <alignment horizontal="left" wrapText="1"/>
    </xf>
    <xf numFmtId="0" fontId="40" fillId="40" borderId="19" xfId="156" applyFont="1" applyFill="1" applyBorder="1" applyAlignment="1">
      <alignment horizontal="center" wrapText="1"/>
    </xf>
    <xf numFmtId="0" fontId="40" fillId="40" borderId="11" xfId="156" applyFont="1" applyFill="1" applyBorder="1" applyAlignment="1">
      <alignment horizontal="center" wrapText="1"/>
    </xf>
    <xf numFmtId="0" fontId="40" fillId="40" borderId="18" xfId="156" applyFont="1" applyFill="1" applyBorder="1" applyAlignment="1">
      <alignment horizontal="center" wrapText="1"/>
    </xf>
    <xf numFmtId="0" fontId="53" fillId="0" borderId="0" xfId="0" applyFont="1" applyBorder="1"/>
    <xf numFmtId="0" fontId="40" fillId="40" borderId="17" xfId="156" applyFont="1" applyFill="1" applyBorder="1" applyAlignment="1">
      <alignment wrapText="1"/>
    </xf>
    <xf numFmtId="168" fontId="30" fillId="0" borderId="17" xfId="156" applyNumberFormat="1" applyBorder="1"/>
    <xf numFmtId="168" fontId="40" fillId="32" borderId="17" xfId="156" applyNumberFormat="1" applyFont="1" applyFill="1" applyBorder="1" applyAlignment="1">
      <alignment wrapText="1"/>
    </xf>
    <xf numFmtId="168" fontId="30" fillId="32" borderId="17" xfId="156" applyNumberFormat="1" applyFill="1" applyBorder="1" applyAlignment="1">
      <alignment wrapText="1"/>
    </xf>
    <xf numFmtId="168" fontId="40" fillId="32" borderId="15" xfId="156" applyNumberFormat="1" applyFont="1" applyFill="1" applyBorder="1" applyAlignment="1">
      <alignment wrapText="1"/>
    </xf>
    <xf numFmtId="168" fontId="30" fillId="32" borderId="24" xfId="156" applyNumberFormat="1" applyFill="1" applyBorder="1" applyAlignment="1">
      <alignment wrapText="1"/>
    </xf>
    <xf numFmtId="0" fontId="30" fillId="0" borderId="0" xfId="156" applyBorder="1" applyAlignment="1">
      <alignment wrapText="1"/>
    </xf>
    <xf numFmtId="0" fontId="40" fillId="42" borderId="11" xfId="156" applyFont="1" applyFill="1" applyBorder="1" applyAlignment="1">
      <alignment vertical="center" wrapText="1"/>
    </xf>
    <xf numFmtId="0" fontId="40" fillId="37" borderId="32" xfId="156" applyFont="1" applyFill="1" applyBorder="1" applyAlignment="1">
      <alignment horizontal="right" wrapText="1"/>
    </xf>
    <xf numFmtId="9" fontId="30" fillId="42" borderId="11" xfId="185" applyFont="1" applyFill="1" applyBorder="1" applyAlignment="1">
      <alignment horizontal="right"/>
    </xf>
    <xf numFmtId="0" fontId="40" fillId="43" borderId="16" xfId="156" applyFont="1" applyFill="1" applyBorder="1" applyAlignment="1">
      <alignment vertical="center" wrapText="1"/>
    </xf>
    <xf numFmtId="0" fontId="40" fillId="43" borderId="11" xfId="156" applyFont="1" applyFill="1" applyBorder="1" applyAlignment="1">
      <alignment vertical="center" wrapText="1"/>
    </xf>
    <xf numFmtId="0" fontId="40" fillId="43" borderId="17" xfId="156" applyFont="1" applyFill="1" applyBorder="1" applyAlignment="1">
      <alignment vertical="center" wrapText="1"/>
    </xf>
    <xf numFmtId="9" fontId="30" fillId="43" borderId="16" xfId="185" applyFont="1" applyFill="1" applyBorder="1" applyAlignment="1">
      <alignment horizontal="right"/>
    </xf>
    <xf numFmtId="0" fontId="30" fillId="43" borderId="19" xfId="156" applyFill="1" applyBorder="1"/>
    <xf numFmtId="9" fontId="30" fillId="42" borderId="11" xfId="185" applyFill="1" applyBorder="1"/>
    <xf numFmtId="9" fontId="30" fillId="43" borderId="16" xfId="185" applyFill="1" applyBorder="1"/>
    <xf numFmtId="9" fontId="30" fillId="43" borderId="19" xfId="185" applyFill="1" applyBorder="1"/>
    <xf numFmtId="9" fontId="30" fillId="43" borderId="47" xfId="185" applyFill="1" applyBorder="1"/>
    <xf numFmtId="9" fontId="30" fillId="42" borderId="37" xfId="185" applyFont="1" applyFill="1" applyBorder="1" applyAlignment="1">
      <alignment horizontal="right" wrapText="1"/>
    </xf>
    <xf numFmtId="0" fontId="32" fillId="0" borderId="17" xfId="154" applyFont="1" applyBorder="1" applyAlignment="1">
      <alignment vertical="top" wrapText="1"/>
    </xf>
    <xf numFmtId="0" fontId="24" fillId="0" borderId="19" xfId="167" applyFont="1" applyFill="1" applyBorder="1" applyAlignment="1">
      <alignment wrapText="1"/>
    </xf>
    <xf numFmtId="0" fontId="24" fillId="0" borderId="19" xfId="167" applyFont="1" applyFill="1" applyBorder="1" applyAlignment="1">
      <alignment horizontal="left" wrapText="1"/>
    </xf>
    <xf numFmtId="0" fontId="24" fillId="0" borderId="17" xfId="167" applyFont="1" applyFill="1" applyBorder="1" applyAlignment="1">
      <alignment wrapText="1"/>
    </xf>
    <xf numFmtId="0" fontId="24" fillId="0" borderId="17" xfId="167" applyFont="1" applyFill="1" applyBorder="1" applyAlignment="1">
      <alignment horizontal="left" wrapText="1"/>
    </xf>
    <xf numFmtId="168" fontId="36" fillId="0" borderId="11" xfId="154" applyNumberFormat="1" applyFont="1" applyFill="1" applyBorder="1" applyAlignment="1">
      <alignment horizontal="center" wrapText="1"/>
    </xf>
    <xf numFmtId="0" fontId="32" fillId="0" borderId="11" xfId="154" applyFont="1" applyFill="1" applyBorder="1" applyAlignment="1">
      <alignment vertical="top" wrapText="1"/>
    </xf>
    <xf numFmtId="0" fontId="32" fillId="0" borderId="11" xfId="0" applyFont="1" applyFill="1" applyBorder="1" applyAlignment="1">
      <alignment horizontal="left" wrapText="1"/>
    </xf>
    <xf numFmtId="168" fontId="40" fillId="36" borderId="11" xfId="156" applyNumberFormat="1" applyFont="1" applyFill="1" applyBorder="1" applyAlignment="1">
      <alignment wrapText="1"/>
    </xf>
    <xf numFmtId="0" fontId="28" fillId="0" borderId="11" xfId="147" applyFont="1" applyFill="1" applyBorder="1" applyAlignment="1">
      <alignment vertical="center" wrapText="1"/>
    </xf>
    <xf numFmtId="0" fontId="47" fillId="0" borderId="11" xfId="147" applyFont="1" applyFill="1" applyBorder="1" applyAlignment="1">
      <alignment vertical="center" wrapText="1"/>
    </xf>
    <xf numFmtId="0" fontId="28" fillId="0" borderId="11" xfId="147" applyFont="1" applyFill="1" applyBorder="1" applyAlignment="1">
      <alignment horizontal="left" vertical="center" wrapText="1"/>
    </xf>
    <xf numFmtId="0" fontId="30" fillId="0" borderId="11" xfId="156" applyFont="1" applyFill="1" applyBorder="1" applyAlignment="1">
      <alignment horizontal="left" vertical="center" wrapText="1"/>
    </xf>
    <xf numFmtId="0" fontId="30" fillId="0" borderId="11" xfId="156" applyFont="1" applyFill="1" applyBorder="1" applyAlignment="1">
      <alignment vertical="center" wrapText="1"/>
    </xf>
    <xf numFmtId="0" fontId="40" fillId="36" borderId="11" xfId="156" applyFont="1" applyFill="1" applyBorder="1" applyAlignment="1">
      <alignment wrapText="1"/>
    </xf>
    <xf numFmtId="0" fontId="40" fillId="37" borderId="11" xfId="156" applyFont="1" applyFill="1" applyBorder="1" applyAlignment="1">
      <alignment horizontal="center" vertical="center" wrapText="1"/>
    </xf>
    <xf numFmtId="0" fontId="40" fillId="37" borderId="16" xfId="156" applyFont="1" applyFill="1" applyBorder="1" applyAlignment="1">
      <alignment horizontal="center" vertical="center" wrapText="1"/>
    </xf>
    <xf numFmtId="0" fontId="40" fillId="37" borderId="15" xfId="156" applyFont="1" applyFill="1" applyBorder="1" applyAlignment="1">
      <alignment horizontal="center" wrapText="1"/>
    </xf>
    <xf numFmtId="168" fontId="40" fillId="36" borderId="16" xfId="156" applyNumberFormat="1" applyFont="1" applyFill="1" applyBorder="1" applyAlignment="1">
      <alignment wrapText="1"/>
    </xf>
    <xf numFmtId="0" fontId="40" fillId="37" borderId="48" xfId="156" applyFont="1" applyFill="1" applyBorder="1" applyAlignment="1">
      <alignment horizontal="center" vertical="center" wrapText="1"/>
    </xf>
    <xf numFmtId="0" fontId="40" fillId="37" borderId="48" xfId="156" applyFont="1" applyFill="1" applyBorder="1" applyAlignment="1">
      <alignment horizontal="center" wrapText="1"/>
    </xf>
    <xf numFmtId="168" fontId="30" fillId="0" borderId="48" xfId="112" applyNumberFormat="1" applyFont="1" applyFill="1" applyBorder="1" applyAlignment="1">
      <alignment horizontal="right"/>
    </xf>
    <xf numFmtId="168" fontId="40" fillId="37" borderId="48" xfId="112" applyNumberFormat="1" applyFont="1" applyFill="1" applyBorder="1" applyAlignment="1">
      <alignment horizontal="right"/>
    </xf>
    <xf numFmtId="168" fontId="30" fillId="32" borderId="48" xfId="112" applyNumberFormat="1" applyFont="1" applyFill="1" applyBorder="1" applyAlignment="1">
      <alignment horizontal="right"/>
    </xf>
    <xf numFmtId="168" fontId="46" fillId="37" borderId="48" xfId="112" applyNumberFormat="1" applyFont="1" applyFill="1" applyBorder="1" applyAlignment="1">
      <alignment wrapText="1"/>
    </xf>
    <xf numFmtId="168" fontId="44" fillId="36" borderId="48" xfId="156" applyNumberFormat="1" applyFont="1" applyFill="1" applyBorder="1" applyAlignment="1">
      <alignment wrapText="1"/>
    </xf>
    <xf numFmtId="9" fontId="30" fillId="0" borderId="0" xfId="156" applyNumberFormat="1" applyFill="1" applyAlignment="1">
      <alignment horizontal="left"/>
    </xf>
    <xf numFmtId="0" fontId="36" fillId="0" borderId="11" xfId="0" applyFont="1" applyBorder="1" applyAlignment="1">
      <alignment vertical="top" wrapText="1"/>
    </xf>
    <xf numFmtId="170" fontId="36" fillId="0" borderId="11" xfId="82" applyNumberFormat="1" applyFont="1" applyFill="1" applyBorder="1"/>
    <xf numFmtId="0" fontId="36" fillId="0" borderId="0" xfId="154" applyFont="1" applyBorder="1" applyAlignment="1">
      <alignment wrapText="1"/>
    </xf>
    <xf numFmtId="9" fontId="30" fillId="0" borderId="0" xfId="156" applyNumberFormat="1" applyFont="1" applyBorder="1" applyAlignment="1">
      <alignment wrapText="1"/>
    </xf>
    <xf numFmtId="9" fontId="30" fillId="32" borderId="11" xfId="185" applyFont="1" applyFill="1" applyBorder="1" applyAlignment="1">
      <alignment horizontal="right" wrapText="1"/>
    </xf>
    <xf numFmtId="0" fontId="40" fillId="43" borderId="19" xfId="156" applyFont="1" applyFill="1" applyBorder="1"/>
    <xf numFmtId="9" fontId="30" fillId="42" borderId="11" xfId="185" applyNumberFormat="1" applyFont="1" applyFill="1" applyBorder="1" applyAlignment="1">
      <alignment horizontal="right" wrapText="1"/>
    </xf>
    <xf numFmtId="0" fontId="36" fillId="0" borderId="11" xfId="154" applyFont="1" applyFill="1" applyBorder="1"/>
    <xf numFmtId="168" fontId="40" fillId="0" borderId="0" xfId="156" applyNumberFormat="1" applyFont="1" applyAlignment="1">
      <alignment wrapText="1"/>
    </xf>
    <xf numFmtId="0" fontId="30" fillId="0" borderId="0" xfId="156" applyFont="1" applyAlignment="1">
      <alignment wrapText="1"/>
    </xf>
    <xf numFmtId="0" fontId="30" fillId="0" borderId="0" xfId="156" applyFont="1" applyAlignment="1">
      <alignment wrapText="1"/>
    </xf>
    <xf numFmtId="168" fontId="30" fillId="0" borderId="17" xfId="112" applyNumberFormat="1" applyFont="1" applyFill="1" applyBorder="1" applyAlignment="1">
      <alignment horizontal="right"/>
    </xf>
    <xf numFmtId="168" fontId="40" fillId="0" borderId="11" xfId="112" applyNumberFormat="1" applyFont="1" applyFill="1" applyBorder="1" applyAlignment="1">
      <alignment wrapText="1"/>
    </xf>
    <xf numFmtId="0" fontId="37" fillId="28" borderId="11" xfId="0" applyFont="1" applyFill="1" applyBorder="1"/>
    <xf numFmtId="9" fontId="33" fillId="28" borderId="11" xfId="185" applyFont="1" applyFill="1" applyBorder="1" applyAlignment="1">
      <alignment horizontal="center"/>
    </xf>
    <xf numFmtId="0" fontId="37" fillId="27" borderId="49" xfId="154" applyFont="1" applyFill="1" applyBorder="1" applyAlignment="1">
      <alignment vertical="center" wrapText="1"/>
    </xf>
    <xf numFmtId="0" fontId="37" fillId="33" borderId="52" xfId="154" applyFont="1" applyFill="1" applyBorder="1" applyAlignment="1">
      <alignment wrapText="1"/>
    </xf>
    <xf numFmtId="0" fontId="37" fillId="33" borderId="53" xfId="154" applyFont="1" applyFill="1" applyBorder="1" applyAlignment="1">
      <alignment wrapText="1"/>
    </xf>
    <xf numFmtId="168" fontId="37" fillId="33" borderId="53" xfId="154" applyNumberFormat="1" applyFont="1" applyFill="1" applyBorder="1" applyAlignment="1">
      <alignment wrapText="1"/>
    </xf>
    <xf numFmtId="168" fontId="37" fillId="33" borderId="54" xfId="154" applyNumberFormat="1" applyFont="1" applyFill="1" applyBorder="1" applyAlignment="1">
      <alignment wrapText="1"/>
    </xf>
    <xf numFmtId="0" fontId="40" fillId="31" borderId="11" xfId="154" applyFont="1" applyFill="1" applyBorder="1" applyAlignment="1">
      <alignment horizontal="center" vertical="center" wrapText="1"/>
    </xf>
    <xf numFmtId="167" fontId="44" fillId="31" borderId="11" xfId="83" applyFont="1" applyFill="1" applyBorder="1" applyAlignment="1"/>
    <xf numFmtId="0" fontId="0" fillId="0" borderId="0" xfId="0" applyFont="1"/>
    <xf numFmtId="0" fontId="60" fillId="49" borderId="11" xfId="0" applyFont="1" applyFill="1" applyBorder="1" applyAlignment="1">
      <alignment horizontal="center" vertical="top" wrapText="1"/>
    </xf>
    <xf numFmtId="0" fontId="0" fillId="49" borderId="11" xfId="0" applyFont="1" applyFill="1" applyBorder="1" applyAlignment="1">
      <alignment vertical="top" wrapText="1"/>
    </xf>
    <xf numFmtId="0" fontId="0" fillId="0" borderId="11" xfId="0" applyFont="1" applyBorder="1" applyAlignment="1">
      <alignment vertical="top" wrapText="1"/>
    </xf>
    <xf numFmtId="168" fontId="0" fillId="30" borderId="11" xfId="88" applyNumberFormat="1" applyFont="1" applyFill="1" applyBorder="1" applyAlignment="1">
      <alignment wrapText="1"/>
    </xf>
    <xf numFmtId="4" fontId="0" fillId="30" borderId="11" xfId="0" applyNumberFormat="1" applyFont="1" applyFill="1" applyBorder="1"/>
    <xf numFmtId="168" fontId="0" fillId="30" borderId="11" xfId="83" applyNumberFormat="1" applyFont="1" applyFill="1" applyBorder="1" applyAlignment="1">
      <alignment horizontal="left" wrapText="1"/>
    </xf>
    <xf numFmtId="0" fontId="0" fillId="30" borderId="11" xfId="0" applyFont="1" applyFill="1" applyBorder="1" applyAlignment="1">
      <alignment horizontal="left"/>
    </xf>
    <xf numFmtId="0" fontId="0" fillId="30" borderId="11" xfId="0" applyFont="1" applyFill="1" applyBorder="1" applyAlignment="1">
      <alignment horizontal="left" wrapText="1"/>
    </xf>
    <xf numFmtId="168" fontId="0" fillId="0" borderId="11" xfId="88" applyNumberFormat="1" applyFont="1" applyFill="1" applyBorder="1" applyAlignment="1">
      <alignment wrapText="1"/>
    </xf>
    <xf numFmtId="4" fontId="0" fillId="0" borderId="11" xfId="0" applyNumberFormat="1" applyFont="1" applyBorder="1"/>
    <xf numFmtId="168" fontId="0" fillId="0" borderId="11" xfId="83" applyNumberFormat="1" applyFont="1" applyFill="1" applyBorder="1" applyAlignment="1">
      <alignment horizontal="left" wrapText="1"/>
    </xf>
    <xf numFmtId="3" fontId="0" fillId="0" borderId="11" xfId="0" applyNumberFormat="1" applyFont="1" applyBorder="1" applyAlignment="1">
      <alignment horizontal="right" vertical="top" wrapText="1"/>
    </xf>
    <xf numFmtId="0" fontId="0" fillId="0" borderId="11" xfId="0" applyFont="1" applyFill="1" applyBorder="1" applyAlignment="1">
      <alignment horizontal="left"/>
    </xf>
    <xf numFmtId="0" fontId="0" fillId="0" borderId="11" xfId="0" applyFont="1" applyFill="1" applyBorder="1" applyAlignment="1">
      <alignment horizontal="left" wrapText="1"/>
    </xf>
    <xf numFmtId="0" fontId="0" fillId="50" borderId="11" xfId="0" applyFont="1" applyFill="1" applyBorder="1" applyAlignment="1">
      <alignment vertical="top" wrapText="1"/>
    </xf>
    <xf numFmtId="0" fontId="0" fillId="0" borderId="11" xfId="0" applyFont="1" applyBorder="1" applyAlignment="1">
      <alignment horizontal="right" vertical="top" wrapText="1"/>
    </xf>
    <xf numFmtId="0" fontId="57" fillId="0" borderId="11" xfId="0" applyFont="1" applyBorder="1" applyAlignment="1">
      <alignment vertical="top" wrapText="1"/>
    </xf>
    <xf numFmtId="168" fontId="0" fillId="51" borderId="11" xfId="88" applyNumberFormat="1" applyFont="1" applyFill="1" applyBorder="1" applyAlignment="1">
      <alignment wrapText="1"/>
    </xf>
    <xf numFmtId="4" fontId="0" fillId="51" borderId="11" xfId="0" applyNumberFormat="1" applyFont="1" applyFill="1" applyBorder="1"/>
    <xf numFmtId="168" fontId="0" fillId="51" borderId="11" xfId="83" applyNumberFormat="1" applyFont="1" applyFill="1" applyBorder="1" applyAlignment="1">
      <alignment horizontal="left" wrapText="1"/>
    </xf>
    <xf numFmtId="0" fontId="0" fillId="51" borderId="11" xfId="0" applyFont="1" applyFill="1" applyBorder="1" applyAlignment="1">
      <alignment horizontal="left"/>
    </xf>
    <xf numFmtId="0" fontId="0" fillId="51" borderId="11" xfId="0" applyFont="1" applyFill="1" applyBorder="1" applyAlignment="1">
      <alignment horizontal="left" wrapText="1"/>
    </xf>
    <xf numFmtId="3" fontId="40" fillId="52" borderId="11" xfId="0" applyNumberFormat="1" applyFont="1" applyFill="1" applyBorder="1" applyAlignment="1">
      <alignment horizontal="right" vertical="top" wrapText="1"/>
    </xf>
    <xf numFmtId="0" fontId="0" fillId="44" borderId="11" xfId="0" applyFont="1" applyFill="1" applyBorder="1"/>
    <xf numFmtId="4" fontId="40" fillId="52" borderId="11" xfId="0" applyNumberFormat="1" applyFont="1" applyFill="1" applyBorder="1" applyAlignment="1">
      <alignment horizontal="right" vertical="top" wrapText="1"/>
    </xf>
    <xf numFmtId="3" fontId="40" fillId="52" borderId="11" xfId="0" applyNumberFormat="1" applyFont="1" applyFill="1" applyBorder="1" applyAlignment="1">
      <alignment horizontal="right" wrapText="1"/>
    </xf>
    <xf numFmtId="3" fontId="0" fillId="0" borderId="0" xfId="0" applyNumberFormat="1" applyFont="1"/>
    <xf numFmtId="3" fontId="0" fillId="0" borderId="0" xfId="0" applyNumberFormat="1"/>
    <xf numFmtId="168" fontId="32" fillId="0" borderId="11" xfId="83" applyNumberFormat="1" applyFont="1" applyFill="1" applyBorder="1" applyAlignment="1">
      <alignment horizontal="left" wrapText="1"/>
    </xf>
    <xf numFmtId="0" fontId="32" fillId="0" borderId="11" xfId="0" applyFont="1" applyFill="1" applyBorder="1" applyAlignment="1">
      <alignment horizontal="left"/>
    </xf>
    <xf numFmtId="0" fontId="32" fillId="0" borderId="11" xfId="0" applyFont="1" applyFill="1" applyBorder="1" applyAlignment="1">
      <alignment horizontal="left" vertical="top" wrapText="1"/>
    </xf>
    <xf numFmtId="0" fontId="32" fillId="0" borderId="11" xfId="154" applyFont="1" applyBorder="1" applyAlignment="1">
      <alignment vertical="top" wrapText="1"/>
    </xf>
    <xf numFmtId="0" fontId="37" fillId="53" borderId="11" xfId="154" applyFont="1" applyFill="1" applyBorder="1" applyAlignment="1">
      <alignment wrapText="1"/>
    </xf>
    <xf numFmtId="0" fontId="36" fillId="0" borderId="0" xfId="154" applyFont="1" applyFill="1"/>
    <xf numFmtId="168" fontId="36" fillId="0" borderId="0" xfId="154" applyNumberFormat="1" applyFont="1"/>
    <xf numFmtId="165" fontId="36" fillId="0" borderId="0" xfId="154" applyNumberFormat="1" applyFont="1" applyFill="1"/>
    <xf numFmtId="170" fontId="36" fillId="0" borderId="0" xfId="154" applyNumberFormat="1" applyFont="1"/>
    <xf numFmtId="43" fontId="36" fillId="0" borderId="0" xfId="154" applyNumberFormat="1" applyFont="1"/>
    <xf numFmtId="0" fontId="36" fillId="0" borderId="0" xfId="0" applyFont="1" applyAlignment="1">
      <alignment horizontal="left" vertical="top" wrapText="1"/>
    </xf>
    <xf numFmtId="0" fontId="36" fillId="0" borderId="11" xfId="0" applyFont="1" applyBorder="1" applyAlignment="1">
      <alignment horizontal="left" vertical="top" wrapText="1"/>
    </xf>
    <xf numFmtId="0" fontId="36" fillId="0" borderId="11" xfId="0" applyFont="1" applyBorder="1" applyAlignment="1">
      <alignment horizontal="left" wrapText="1"/>
    </xf>
    <xf numFmtId="0" fontId="40" fillId="37" borderId="12" xfId="156" applyFont="1" applyFill="1" applyBorder="1" applyAlignment="1">
      <alignment horizontal="center" vertical="center" wrapText="1"/>
    </xf>
    <xf numFmtId="0" fontId="40" fillId="37" borderId="20" xfId="156" applyFont="1" applyFill="1" applyBorder="1" applyAlignment="1">
      <alignment horizontal="center" vertical="center" wrapText="1"/>
    </xf>
    <xf numFmtId="0" fontId="40" fillId="37" borderId="20" xfId="156" applyFont="1" applyFill="1" applyBorder="1" applyAlignment="1">
      <alignment horizontal="center" wrapText="1"/>
    </xf>
    <xf numFmtId="0" fontId="40" fillId="37" borderId="18" xfId="156" applyFont="1" applyFill="1" applyBorder="1" applyAlignment="1">
      <alignment horizontal="center" vertical="center" wrapText="1"/>
    </xf>
    <xf numFmtId="0" fontId="40" fillId="37" borderId="25" xfId="156" applyFont="1" applyFill="1" applyBorder="1" applyAlignment="1">
      <alignment horizontal="center" vertical="center" wrapText="1"/>
    </xf>
    <xf numFmtId="0" fontId="40" fillId="37" borderId="16" xfId="156" applyFont="1" applyFill="1" applyBorder="1" applyAlignment="1">
      <alignment vertical="center" wrapText="1"/>
    </xf>
    <xf numFmtId="168" fontId="40" fillId="0" borderId="16" xfId="112" applyNumberFormat="1" applyFont="1" applyFill="1" applyBorder="1" applyAlignment="1">
      <alignment wrapText="1"/>
    </xf>
    <xf numFmtId="0" fontId="40" fillId="36" borderId="19" xfId="156" applyFont="1" applyFill="1" applyBorder="1" applyAlignment="1">
      <alignment wrapText="1"/>
    </xf>
    <xf numFmtId="0" fontId="36" fillId="0" borderId="11" xfId="154" applyFont="1" applyBorder="1" applyAlignment="1">
      <alignment horizontal="right" vertical="top" wrapText="1"/>
    </xf>
    <xf numFmtId="0" fontId="40" fillId="0" borderId="11" xfId="156" applyFont="1" applyFill="1" applyBorder="1" applyAlignment="1">
      <alignment horizontal="left" wrapText="1"/>
    </xf>
    <xf numFmtId="0" fontId="40" fillId="39" borderId="11" xfId="156" applyFont="1" applyFill="1" applyBorder="1" applyAlignment="1">
      <alignment wrapText="1"/>
    </xf>
    <xf numFmtId="0" fontId="40" fillId="0" borderId="11" xfId="156" applyFont="1" applyFill="1" applyBorder="1" applyAlignment="1">
      <alignment horizontal="right" wrapText="1"/>
    </xf>
    <xf numFmtId="9" fontId="30" fillId="43" borderId="11" xfId="185" applyFont="1" applyFill="1" applyBorder="1" applyAlignment="1">
      <alignment horizontal="right"/>
    </xf>
    <xf numFmtId="9" fontId="30" fillId="43" borderId="11" xfId="156" applyNumberFormat="1" applyFill="1" applyBorder="1"/>
    <xf numFmtId="9" fontId="30" fillId="43" borderId="11" xfId="185" applyFill="1" applyBorder="1"/>
    <xf numFmtId="168" fontId="30" fillId="43" borderId="11" xfId="112" applyNumberFormat="1" applyFont="1" applyFill="1" applyBorder="1" applyAlignment="1">
      <alignment wrapText="1"/>
    </xf>
    <xf numFmtId="0" fontId="40" fillId="42" borderId="11" xfId="156" applyFont="1" applyFill="1" applyBorder="1" applyAlignment="1">
      <alignment wrapText="1"/>
    </xf>
    <xf numFmtId="0" fontId="36" fillId="0" borderId="12" xfId="154" applyFont="1" applyFill="1" applyBorder="1" applyAlignment="1">
      <alignment vertical="top" wrapText="1"/>
    </xf>
    <xf numFmtId="0" fontId="64" fillId="0" borderId="11" xfId="154" applyFont="1" applyFill="1" applyBorder="1" applyAlignment="1">
      <alignment vertical="top" wrapText="1"/>
    </xf>
    <xf numFmtId="0" fontId="64" fillId="0" borderId="11" xfId="154" applyFont="1" applyFill="1" applyBorder="1" applyAlignment="1">
      <alignment horizontal="left" vertical="top" wrapText="1"/>
    </xf>
    <xf numFmtId="2" fontId="64" fillId="0" borderId="13" xfId="0" applyNumberFormat="1" applyFont="1" applyBorder="1" applyAlignment="1">
      <alignment horizontal="left" vertical="top" wrapText="1"/>
    </xf>
    <xf numFmtId="0" fontId="64" fillId="0" borderId="17" xfId="154" applyFont="1" applyBorder="1" applyAlignment="1">
      <alignment vertical="top" wrapText="1"/>
    </xf>
    <xf numFmtId="0" fontId="24" fillId="37" borderId="11" xfId="167" applyFont="1" applyFill="1" applyBorder="1" applyAlignment="1">
      <alignment horizontal="left" wrapText="1"/>
    </xf>
    <xf numFmtId="0" fontId="40" fillId="37" borderId="20" xfId="156" applyFont="1" applyFill="1" applyBorder="1" applyAlignment="1">
      <alignment horizontal="center" vertical="center" wrapText="1"/>
    </xf>
    <xf numFmtId="0" fontId="40" fillId="54" borderId="11" xfId="156" applyFont="1" applyFill="1" applyBorder="1" applyAlignment="1">
      <alignment vertical="center" wrapText="1"/>
    </xf>
    <xf numFmtId="0" fontId="40" fillId="54" borderId="11" xfId="156" applyFont="1" applyFill="1" applyBorder="1" applyAlignment="1">
      <alignment wrapText="1"/>
    </xf>
    <xf numFmtId="0" fontId="40" fillId="54" borderId="11" xfId="156" applyFont="1" applyFill="1" applyBorder="1" applyAlignment="1">
      <alignment horizontal="center" wrapText="1"/>
    </xf>
    <xf numFmtId="9" fontId="30" fillId="54" borderId="11" xfId="185" applyFont="1" applyFill="1" applyBorder="1" applyAlignment="1">
      <alignment horizontal="right"/>
    </xf>
    <xf numFmtId="9" fontId="30" fillId="54" borderId="11" xfId="185" applyFont="1" applyFill="1" applyBorder="1" applyAlignment="1">
      <alignment horizontal="right" wrapText="1"/>
    </xf>
    <xf numFmtId="9" fontId="30" fillId="54" borderId="11" xfId="185" applyNumberFormat="1" applyFont="1" applyFill="1" applyBorder="1" applyAlignment="1">
      <alignment horizontal="right" wrapText="1"/>
    </xf>
    <xf numFmtId="9" fontId="30" fillId="54" borderId="11" xfId="185" applyFill="1" applyBorder="1"/>
    <xf numFmtId="9" fontId="30" fillId="54" borderId="11" xfId="185" applyFont="1" applyFill="1" applyBorder="1" applyAlignment="1">
      <alignment wrapText="1"/>
    </xf>
    <xf numFmtId="9" fontId="30" fillId="42" borderId="11" xfId="185" applyFont="1" applyFill="1" applyBorder="1" applyAlignment="1">
      <alignment wrapText="1"/>
    </xf>
    <xf numFmtId="0" fontId="67" fillId="0" borderId="0" xfId="156" applyFont="1" applyAlignment="1">
      <alignment wrapText="1"/>
    </xf>
    <xf numFmtId="170" fontId="30" fillId="0" borderId="20" xfId="82" applyNumberFormat="1" applyFont="1" applyFill="1" applyBorder="1" applyAlignment="1">
      <alignment horizontal="right" wrapText="1"/>
    </xf>
    <xf numFmtId="0" fontId="0" fillId="0" borderId="11" xfId="156" applyFont="1" applyFill="1" applyBorder="1" applyAlignment="1">
      <alignment horizontal="left" vertical="center" wrapText="1"/>
    </xf>
    <xf numFmtId="0" fontId="0" fillId="0" borderId="11" xfId="156" applyFont="1" applyFill="1" applyBorder="1" applyAlignment="1">
      <alignment vertical="center" wrapText="1"/>
    </xf>
    <xf numFmtId="170" fontId="30" fillId="0" borderId="0" xfId="82" applyNumberFormat="1"/>
    <xf numFmtId="0" fontId="54" fillId="41" borderId="49" xfId="156" applyFont="1" applyFill="1" applyBorder="1" applyAlignment="1">
      <alignment wrapText="1"/>
    </xf>
    <xf numFmtId="0" fontId="54" fillId="41" borderId="44" xfId="156" applyFont="1" applyFill="1" applyBorder="1" applyAlignment="1">
      <alignment wrapText="1"/>
    </xf>
    <xf numFmtId="9" fontId="56" fillId="0" borderId="0" xfId="156" applyNumberFormat="1" applyFont="1" applyAlignment="1">
      <alignment wrapText="1"/>
    </xf>
    <xf numFmtId="0" fontId="28" fillId="0" borderId="0" xfId="147" applyFont="1" applyFill="1" applyBorder="1" applyAlignment="1">
      <alignment vertical="center" wrapText="1"/>
    </xf>
    <xf numFmtId="0" fontId="40" fillId="43" borderId="11" xfId="156" applyFont="1" applyFill="1" applyBorder="1" applyAlignment="1">
      <alignment wrapText="1"/>
    </xf>
    <xf numFmtId="0" fontId="40" fillId="43" borderId="11" xfId="156" applyFont="1" applyFill="1" applyBorder="1" applyAlignment="1"/>
    <xf numFmtId="0" fontId="28" fillId="42" borderId="19" xfId="147" applyFont="1" applyFill="1" applyBorder="1" applyAlignment="1">
      <alignment vertical="center" wrapText="1"/>
    </xf>
    <xf numFmtId="168" fontId="30" fillId="42" borderId="16" xfId="112" applyNumberFormat="1" applyFont="1" applyFill="1" applyBorder="1" applyAlignment="1">
      <alignment horizontal="right" wrapText="1"/>
    </xf>
    <xf numFmtId="9" fontId="30" fillId="42" borderId="20" xfId="185" applyFont="1" applyFill="1" applyBorder="1" applyAlignment="1">
      <alignment horizontal="right" wrapText="1"/>
    </xf>
    <xf numFmtId="168" fontId="30" fillId="42" borderId="18" xfId="112" applyNumberFormat="1" applyFont="1" applyFill="1" applyBorder="1" applyAlignment="1">
      <alignment horizontal="right" wrapText="1"/>
    </xf>
    <xf numFmtId="168" fontId="30" fillId="42" borderId="11" xfId="112" applyNumberFormat="1" applyFont="1" applyFill="1" applyBorder="1" applyAlignment="1">
      <alignment horizontal="right" wrapText="1"/>
    </xf>
    <xf numFmtId="9" fontId="30" fillId="42" borderId="19" xfId="185" applyFont="1" applyFill="1" applyBorder="1" applyAlignment="1">
      <alignment horizontal="right" wrapText="1"/>
    </xf>
    <xf numFmtId="168" fontId="40" fillId="42" borderId="16" xfId="112" applyNumberFormat="1" applyFont="1" applyFill="1" applyBorder="1" applyAlignment="1">
      <alignment wrapText="1"/>
    </xf>
    <xf numFmtId="168" fontId="40" fillId="42" borderId="11" xfId="112" applyNumberFormat="1" applyFont="1" applyFill="1" applyBorder="1" applyAlignment="1">
      <alignment wrapText="1"/>
    </xf>
    <xf numFmtId="9" fontId="40" fillId="42" borderId="19" xfId="185" applyFont="1" applyFill="1" applyBorder="1" applyAlignment="1">
      <alignment wrapText="1"/>
    </xf>
    <xf numFmtId="168" fontId="40" fillId="42" borderId="18" xfId="112" applyNumberFormat="1" applyFont="1" applyFill="1" applyBorder="1" applyAlignment="1">
      <alignment wrapText="1"/>
    </xf>
    <xf numFmtId="168" fontId="30" fillId="42" borderId="19" xfId="112" applyNumberFormat="1" applyFont="1" applyFill="1" applyBorder="1" applyAlignment="1">
      <alignment horizontal="right" wrapText="1"/>
    </xf>
    <xf numFmtId="0" fontId="47" fillId="42" borderId="19" xfId="147" applyFont="1" applyFill="1" applyBorder="1" applyAlignment="1">
      <alignment vertical="center" wrapText="1"/>
    </xf>
    <xf numFmtId="0" fontId="24" fillId="42" borderId="20" xfId="167" applyFont="1" applyFill="1" applyBorder="1" applyAlignment="1">
      <alignment vertical="center" wrapText="1"/>
    </xf>
    <xf numFmtId="168" fontId="40" fillId="42" borderId="16" xfId="112" applyNumberFormat="1" applyFont="1" applyFill="1" applyBorder="1" applyAlignment="1">
      <alignment horizontal="right"/>
    </xf>
    <xf numFmtId="9" fontId="40" fillId="42" borderId="20" xfId="185" applyFont="1" applyFill="1" applyBorder="1" applyAlignment="1">
      <alignment horizontal="right"/>
    </xf>
    <xf numFmtId="168" fontId="40" fillId="42" borderId="18" xfId="112" applyNumberFormat="1" applyFont="1" applyFill="1" applyBorder="1" applyAlignment="1">
      <alignment horizontal="right"/>
    </xf>
    <xf numFmtId="168" fontId="30" fillId="42" borderId="20" xfId="112" applyNumberFormat="1" applyFont="1" applyFill="1" applyBorder="1" applyAlignment="1">
      <alignment horizontal="right" wrapText="1"/>
    </xf>
    <xf numFmtId="0" fontId="28" fillId="42" borderId="19" xfId="147" applyFont="1" applyFill="1" applyBorder="1" applyAlignment="1">
      <alignment horizontal="left" vertical="center" wrapText="1"/>
    </xf>
    <xf numFmtId="0" fontId="24" fillId="42" borderId="19" xfId="167" applyFont="1" applyFill="1" applyBorder="1" applyAlignment="1">
      <alignment horizontal="left" wrapText="1"/>
    </xf>
    <xf numFmtId="168" fontId="40" fillId="42" borderId="16" xfId="112" applyNumberFormat="1" applyFont="1" applyFill="1" applyBorder="1" applyAlignment="1">
      <alignment horizontal="right" wrapText="1"/>
    </xf>
    <xf numFmtId="168" fontId="40" fillId="42" borderId="20" xfId="112" applyNumberFormat="1" applyFont="1" applyFill="1" applyBorder="1" applyAlignment="1">
      <alignment wrapText="1"/>
    </xf>
    <xf numFmtId="0" fontId="30" fillId="42" borderId="19" xfId="156" applyFont="1" applyFill="1" applyBorder="1" applyAlignment="1">
      <alignment vertical="center" wrapText="1"/>
    </xf>
    <xf numFmtId="0" fontId="40" fillId="42" borderId="19" xfId="156" applyFont="1" applyFill="1" applyBorder="1" applyAlignment="1">
      <alignment wrapText="1"/>
    </xf>
    <xf numFmtId="168" fontId="40" fillId="42" borderId="16" xfId="156" applyNumberFormat="1" applyFont="1" applyFill="1" applyBorder="1" applyAlignment="1">
      <alignment wrapText="1"/>
    </xf>
    <xf numFmtId="9" fontId="40" fillId="42" borderId="20" xfId="185" applyFont="1" applyFill="1" applyBorder="1" applyAlignment="1">
      <alignment wrapText="1"/>
    </xf>
    <xf numFmtId="168" fontId="40" fillId="42" borderId="18" xfId="156" applyNumberFormat="1" applyFont="1" applyFill="1" applyBorder="1" applyAlignment="1">
      <alignment wrapText="1"/>
    </xf>
    <xf numFmtId="168" fontId="40" fillId="42" borderId="11" xfId="156" applyNumberFormat="1" applyFont="1" applyFill="1" applyBorder="1" applyAlignment="1">
      <alignment wrapText="1"/>
    </xf>
    <xf numFmtId="0" fontId="0" fillId="42" borderId="19" xfId="156" applyFont="1" applyFill="1" applyBorder="1" applyAlignment="1">
      <alignment horizontal="left" wrapText="1"/>
    </xf>
    <xf numFmtId="0" fontId="36" fillId="0" borderId="14" xfId="154" applyFont="1" applyBorder="1" applyAlignment="1">
      <alignment horizontal="center" vertical="center" wrapText="1"/>
    </xf>
    <xf numFmtId="0" fontId="36" fillId="0" borderId="13" xfId="154" applyFont="1" applyBorder="1" applyAlignment="1">
      <alignment horizontal="center" vertical="center" wrapText="1"/>
    </xf>
    <xf numFmtId="0" fontId="36" fillId="0" borderId="11" xfId="154" applyFont="1" applyFill="1" applyBorder="1" applyAlignment="1">
      <alignment horizontal="left" vertical="top" wrapText="1"/>
    </xf>
    <xf numFmtId="0" fontId="32" fillId="0" borderId="11" xfId="146" applyFont="1" applyFill="1" applyBorder="1" applyAlignment="1">
      <alignment horizontal="left" wrapText="1"/>
    </xf>
    <xf numFmtId="168" fontId="36" fillId="0" borderId="11" xfId="83" applyNumberFormat="1" applyFont="1" applyFill="1" applyBorder="1" applyAlignment="1">
      <alignment wrapText="1"/>
    </xf>
    <xf numFmtId="168" fontId="36" fillId="0" borderId="11" xfId="83" applyNumberFormat="1" applyFont="1" applyFill="1" applyBorder="1" applyAlignment="1"/>
    <xf numFmtId="0" fontId="32" fillId="0" borderId="11" xfId="146" applyFont="1" applyBorder="1" applyAlignment="1">
      <alignment wrapText="1"/>
    </xf>
    <xf numFmtId="168" fontId="34" fillId="28" borderId="11" xfId="83" applyNumberFormat="1" applyFont="1" applyFill="1" applyBorder="1"/>
    <xf numFmtId="0" fontId="36" fillId="0" borderId="0" xfId="154" applyFont="1" applyBorder="1"/>
    <xf numFmtId="0" fontId="42" fillId="0" borderId="11" xfId="0" applyFont="1" applyBorder="1" applyAlignment="1">
      <alignment horizontal="left" vertical="top"/>
    </xf>
    <xf numFmtId="168" fontId="36" fillId="0" borderId="11" xfId="90" applyNumberFormat="1" applyFont="1" applyFill="1" applyBorder="1" applyAlignment="1">
      <alignment wrapText="1"/>
    </xf>
    <xf numFmtId="0" fontId="64" fillId="0" borderId="12" xfId="154" applyFont="1" applyFill="1" applyBorder="1" applyAlignment="1">
      <alignment vertical="center" wrapText="1"/>
    </xf>
    <xf numFmtId="0" fontId="64" fillId="0" borderId="12" xfId="154" applyFont="1" applyFill="1" applyBorder="1" applyAlignment="1">
      <alignment vertical="top" wrapText="1"/>
    </xf>
    <xf numFmtId="0" fontId="39" fillId="0" borderId="12" xfId="154" applyFont="1" applyFill="1" applyBorder="1" applyAlignment="1">
      <alignment vertical="top" wrapText="1"/>
    </xf>
    <xf numFmtId="0" fontId="32" fillId="0" borderId="0" xfId="146" applyFont="1" applyBorder="1" applyAlignment="1">
      <alignment vertical="top"/>
    </xf>
    <xf numFmtId="0" fontId="32" fillId="0" borderId="0" xfId="146" applyFont="1" applyBorder="1" applyAlignment="1">
      <alignment vertical="top" wrapText="1"/>
    </xf>
    <xf numFmtId="0" fontId="64" fillId="0" borderId="0" xfId="146" applyFont="1" applyBorder="1" applyAlignment="1">
      <alignment vertical="top" wrapText="1"/>
    </xf>
    <xf numFmtId="168" fontId="32" fillId="0" borderId="11" xfId="90" applyNumberFormat="1" applyFont="1" applyFill="1" applyBorder="1" applyAlignment="1">
      <alignment wrapText="1"/>
    </xf>
    <xf numFmtId="0" fontId="36" fillId="0" borderId="0" xfId="0" applyFont="1" applyBorder="1" applyAlignment="1">
      <alignment vertical="center" wrapText="1"/>
    </xf>
    <xf numFmtId="0" fontId="42" fillId="0" borderId="0" xfId="154" applyFont="1" applyAlignment="1">
      <alignment wrapText="1"/>
    </xf>
    <xf numFmtId="0" fontId="42" fillId="0" borderId="0" xfId="154" applyFont="1" applyAlignment="1">
      <alignment vertical="top" wrapText="1"/>
    </xf>
    <xf numFmtId="0" fontId="42" fillId="0" borderId="0" xfId="0" applyFont="1" applyAlignment="1">
      <alignment vertical="center"/>
    </xf>
    <xf numFmtId="0" fontId="36" fillId="0" borderId="0" xfId="0" applyFont="1" applyAlignment="1">
      <alignment vertical="center"/>
    </xf>
    <xf numFmtId="0" fontId="37" fillId="53" borderId="11" xfId="154" applyFont="1" applyFill="1" applyBorder="1"/>
    <xf numFmtId="170" fontId="36" fillId="0" borderId="11" xfId="82" applyNumberFormat="1" applyFont="1" applyBorder="1" applyAlignment="1">
      <alignment wrapText="1"/>
    </xf>
    <xf numFmtId="170" fontId="36" fillId="0" borderId="11" xfId="154" applyNumberFormat="1" applyFont="1" applyBorder="1"/>
    <xf numFmtId="0" fontId="32" fillId="0" borderId="11" xfId="154" applyFont="1" applyBorder="1" applyAlignment="1">
      <alignment horizontal="left" vertical="top" wrapText="1"/>
    </xf>
    <xf numFmtId="0" fontId="64" fillId="0" borderId="11" xfId="154" applyFont="1" applyBorder="1" applyAlignment="1">
      <alignment horizontal="left" vertical="top" wrapText="1"/>
    </xf>
    <xf numFmtId="0" fontId="36" fillId="0" borderId="11" xfId="154" applyFont="1" applyBorder="1" applyAlignment="1">
      <alignment horizontal="left" vertical="top" wrapText="1"/>
    </xf>
    <xf numFmtId="0" fontId="53" fillId="42" borderId="51" xfId="154" applyFont="1" applyFill="1" applyBorder="1" applyAlignment="1">
      <alignment vertical="top" wrapText="1"/>
    </xf>
    <xf numFmtId="0" fontId="0" fillId="42" borderId="43" xfId="0" applyFill="1" applyBorder="1" applyAlignment="1">
      <alignment vertical="top" wrapText="1"/>
    </xf>
    <xf numFmtId="0" fontId="53" fillId="0" borderId="51" xfId="154" applyFont="1" applyFill="1" applyBorder="1" applyAlignment="1">
      <alignment vertical="top" wrapText="1"/>
    </xf>
    <xf numFmtId="0" fontId="0" fillId="0" borderId="51" xfId="0" applyFill="1" applyBorder="1" applyAlignment="1">
      <alignment vertical="top" wrapText="1"/>
    </xf>
    <xf numFmtId="9" fontId="53" fillId="0" borderId="51" xfId="185" applyFont="1" applyFill="1" applyBorder="1" applyAlignment="1">
      <alignment vertical="top" wrapText="1"/>
    </xf>
    <xf numFmtId="168" fontId="53" fillId="0" borderId="51" xfId="154" applyNumberFormat="1" applyFont="1" applyFill="1" applyBorder="1" applyAlignment="1">
      <alignment vertical="top" wrapText="1"/>
    </xf>
    <xf numFmtId="43" fontId="53" fillId="0" borderId="56" xfId="154" applyNumberFormat="1" applyFont="1" applyFill="1" applyBorder="1" applyAlignment="1">
      <alignment vertical="top" wrapText="1"/>
    </xf>
    <xf numFmtId="0" fontId="36" fillId="0" borderId="12" xfId="154" applyFont="1" applyBorder="1" applyAlignment="1">
      <alignment horizontal="right" vertical="top" wrapText="1"/>
    </xf>
    <xf numFmtId="0" fontId="37" fillId="30" borderId="11" xfId="154" applyFont="1" applyFill="1" applyBorder="1" applyAlignment="1">
      <alignment wrapText="1"/>
    </xf>
    <xf numFmtId="0" fontId="32" fillId="0" borderId="12" xfId="146" applyFont="1" applyBorder="1" applyAlignment="1">
      <alignment vertical="top"/>
    </xf>
    <xf numFmtId="0" fontId="36" fillId="0" borderId="14" xfId="0" applyFont="1" applyBorder="1" applyAlignment="1">
      <alignment vertical="top"/>
    </xf>
    <xf numFmtId="0" fontId="64" fillId="0" borderId="13" xfId="0" applyFont="1" applyBorder="1" applyAlignment="1">
      <alignment horizontal="left" vertical="top" wrapText="1"/>
    </xf>
    <xf numFmtId="0" fontId="53" fillId="0" borderId="51" xfId="154" applyFont="1" applyFill="1" applyBorder="1" applyAlignment="1">
      <alignment horizontal="left" vertical="top" wrapText="1" indent="2"/>
    </xf>
    <xf numFmtId="0" fontId="32" fillId="0" borderId="12" xfId="154" applyFont="1" applyBorder="1" applyAlignment="1">
      <alignment horizontal="left" vertical="top" wrapText="1"/>
    </xf>
    <xf numFmtId="0" fontId="32" fillId="0" borderId="14" xfId="154" applyFont="1" applyFill="1" applyBorder="1" applyAlignment="1">
      <alignment horizontal="center" vertical="center" wrapText="1"/>
    </xf>
    <xf numFmtId="0" fontId="32" fillId="0" borderId="13" xfId="154" applyFont="1" applyFill="1" applyBorder="1" applyAlignment="1">
      <alignment horizontal="center" vertical="center" wrapText="1"/>
    </xf>
    <xf numFmtId="0" fontId="64" fillId="0" borderId="0" xfId="154" applyFont="1" applyBorder="1" applyAlignment="1">
      <alignment horizontal="left" vertical="top" wrapText="1"/>
    </xf>
    <xf numFmtId="0" fontId="69" fillId="0" borderId="51" xfId="154" applyFont="1" applyFill="1" applyBorder="1" applyAlignment="1">
      <alignment horizontal="center" vertical="center" wrapText="1"/>
    </xf>
    <xf numFmtId="0" fontId="54" fillId="36" borderId="50" xfId="156" applyFont="1" applyFill="1" applyBorder="1" applyAlignment="1">
      <alignment horizontal="center" wrapText="1"/>
    </xf>
    <xf numFmtId="0" fontId="54" fillId="36" borderId="0" xfId="156" applyFont="1" applyFill="1" applyBorder="1" applyAlignment="1">
      <alignment horizontal="center" wrapText="1"/>
    </xf>
    <xf numFmtId="0" fontId="40" fillId="0" borderId="17" xfId="156" applyFont="1" applyFill="1" applyBorder="1" applyAlignment="1">
      <alignment horizontal="left" wrapText="1"/>
    </xf>
    <xf numFmtId="0" fontId="40" fillId="0" borderId="15" xfId="156" applyFont="1" applyFill="1" applyBorder="1" applyAlignment="1">
      <alignment horizontal="left" wrapText="1"/>
    </xf>
    <xf numFmtId="0" fontId="40" fillId="32" borderId="32" xfId="156" applyFont="1" applyFill="1" applyBorder="1" applyAlignment="1">
      <alignment horizontal="center" vertical="center" wrapText="1"/>
    </xf>
    <xf numFmtId="0" fontId="40" fillId="32" borderId="15" xfId="156" applyFont="1" applyFill="1" applyBorder="1" applyAlignment="1">
      <alignment horizontal="center" vertical="center" wrapText="1"/>
    </xf>
    <xf numFmtId="0" fontId="40" fillId="32" borderId="20" xfId="156" applyFont="1" applyFill="1" applyBorder="1" applyAlignment="1">
      <alignment horizontal="center" vertical="center" wrapText="1"/>
    </xf>
    <xf numFmtId="0" fontId="40" fillId="39" borderId="32" xfId="156" applyFont="1" applyFill="1" applyBorder="1" applyAlignment="1">
      <alignment horizontal="center" vertical="center" wrapText="1"/>
    </xf>
    <xf numFmtId="0" fontId="40" fillId="39" borderId="15" xfId="156" applyFont="1" applyFill="1" applyBorder="1" applyAlignment="1">
      <alignment horizontal="center" vertical="center" wrapText="1"/>
    </xf>
    <xf numFmtId="0" fontId="40" fillId="39" borderId="20" xfId="156" applyFont="1" applyFill="1" applyBorder="1" applyAlignment="1">
      <alignment horizontal="center" vertical="center" wrapText="1"/>
    </xf>
    <xf numFmtId="0" fontId="40" fillId="41" borderId="32" xfId="156" applyFont="1" applyFill="1" applyBorder="1" applyAlignment="1">
      <alignment horizontal="center" vertical="center" wrapText="1"/>
    </xf>
    <xf numFmtId="0" fontId="40" fillId="41" borderId="15" xfId="156" applyFont="1" applyFill="1" applyBorder="1" applyAlignment="1">
      <alignment horizontal="center" vertical="center" wrapText="1"/>
    </xf>
    <xf numFmtId="0" fontId="40" fillId="41" borderId="20" xfId="156" applyFont="1" applyFill="1" applyBorder="1" applyAlignment="1">
      <alignment horizontal="center" vertical="center" wrapText="1"/>
    </xf>
    <xf numFmtId="0" fontId="40" fillId="40" borderId="19" xfId="156" applyFont="1" applyFill="1" applyBorder="1" applyAlignment="1">
      <alignment horizontal="center" wrapText="1"/>
    </xf>
    <xf numFmtId="0" fontId="40" fillId="40" borderId="16" xfId="156" applyFont="1" applyFill="1" applyBorder="1" applyAlignment="1">
      <alignment horizontal="center" wrapText="1"/>
    </xf>
    <xf numFmtId="0" fontId="40" fillId="40" borderId="11" xfId="156" applyFont="1" applyFill="1" applyBorder="1" applyAlignment="1">
      <alignment horizontal="center" wrapText="1"/>
    </xf>
    <xf numFmtId="0" fontId="40" fillId="40" borderId="17" xfId="156" applyFont="1" applyFill="1" applyBorder="1" applyAlignment="1">
      <alignment horizontal="center" wrapText="1"/>
    </xf>
    <xf numFmtId="0" fontId="40" fillId="39" borderId="17" xfId="156" applyFont="1" applyFill="1" applyBorder="1" applyAlignment="1">
      <alignment horizontal="center" vertical="center" wrapText="1"/>
    </xf>
    <xf numFmtId="0" fontId="40" fillId="41" borderId="16" xfId="156" applyFont="1" applyFill="1" applyBorder="1" applyAlignment="1">
      <alignment horizontal="center" vertical="center" wrapText="1"/>
    </xf>
    <xf numFmtId="0" fontId="40" fillId="41" borderId="17" xfId="156" applyFont="1" applyFill="1" applyBorder="1" applyAlignment="1">
      <alignment horizontal="center" vertical="center" wrapText="1"/>
    </xf>
    <xf numFmtId="0" fontId="40" fillId="32" borderId="18" xfId="156" applyFont="1" applyFill="1" applyBorder="1" applyAlignment="1">
      <alignment horizontal="center" vertical="center" wrapText="1"/>
    </xf>
    <xf numFmtId="0" fontId="40" fillId="32" borderId="11" xfId="156" applyFont="1" applyFill="1" applyBorder="1" applyAlignment="1">
      <alignment horizontal="center" vertical="center" wrapText="1"/>
    </xf>
    <xf numFmtId="0" fontId="40" fillId="32" borderId="17" xfId="156" applyFont="1" applyFill="1" applyBorder="1" applyAlignment="1">
      <alignment horizontal="center" vertical="center" wrapText="1"/>
    </xf>
    <xf numFmtId="0" fontId="40" fillId="40" borderId="32" xfId="156" applyFont="1" applyFill="1" applyBorder="1" applyAlignment="1">
      <alignment horizontal="center" wrapText="1"/>
    </xf>
    <xf numFmtId="0" fontId="40" fillId="40" borderId="15" xfId="156" applyFont="1" applyFill="1" applyBorder="1" applyAlignment="1">
      <alignment horizontal="center" wrapText="1"/>
    </xf>
    <xf numFmtId="0" fontId="40" fillId="40" borderId="20" xfId="156" applyFont="1" applyFill="1" applyBorder="1" applyAlignment="1">
      <alignment horizontal="center" wrapText="1"/>
    </xf>
    <xf numFmtId="0" fontId="40" fillId="40" borderId="18" xfId="156" applyFont="1" applyFill="1" applyBorder="1" applyAlignment="1">
      <alignment horizontal="center" wrapText="1"/>
    </xf>
    <xf numFmtId="0" fontId="24" fillId="37" borderId="17" xfId="167" applyFont="1" applyFill="1" applyBorder="1" applyAlignment="1">
      <alignment horizontal="left" wrapText="1"/>
    </xf>
    <xf numFmtId="0" fontId="24" fillId="37" borderId="16" xfId="167" applyFont="1" applyFill="1" applyBorder="1" applyAlignment="1">
      <alignment horizontal="left" wrapText="1"/>
    </xf>
    <xf numFmtId="0" fontId="24" fillId="32" borderId="17" xfId="167" applyFont="1" applyFill="1" applyBorder="1" applyAlignment="1">
      <alignment horizontal="left" vertical="center" wrapText="1"/>
    </xf>
    <xf numFmtId="0" fontId="24" fillId="32" borderId="20" xfId="167" applyFont="1" applyFill="1" applyBorder="1" applyAlignment="1">
      <alignment horizontal="left" vertical="center" wrapText="1"/>
    </xf>
    <xf numFmtId="0" fontId="24" fillId="0" borderId="11" xfId="167" applyFont="1" applyFill="1" applyBorder="1" applyAlignment="1">
      <alignment horizontal="left" vertical="center" wrapText="1"/>
    </xf>
    <xf numFmtId="0" fontId="24" fillId="0" borderId="19" xfId="167" applyFont="1" applyFill="1" applyBorder="1" applyAlignment="1">
      <alignment horizontal="left" vertical="center" wrapText="1"/>
    </xf>
    <xf numFmtId="0" fontId="40" fillId="39" borderId="16" xfId="156" applyFont="1" applyFill="1" applyBorder="1" applyAlignment="1">
      <alignment horizontal="center" vertical="center" wrapText="1"/>
    </xf>
    <xf numFmtId="0" fontId="24" fillId="37" borderId="11" xfId="167" applyFont="1" applyFill="1" applyBorder="1" applyAlignment="1">
      <alignment horizontal="left" vertical="center" wrapText="1"/>
    </xf>
    <xf numFmtId="0" fontId="24" fillId="32" borderId="11" xfId="167" applyFont="1" applyFill="1" applyBorder="1" applyAlignment="1">
      <alignment horizontal="left" vertical="center" wrapText="1"/>
    </xf>
    <xf numFmtId="0" fontId="24" fillId="37" borderId="11" xfId="167" applyFont="1" applyFill="1" applyBorder="1" applyAlignment="1">
      <alignment horizontal="left" wrapText="1"/>
    </xf>
    <xf numFmtId="0" fontId="40" fillId="37" borderId="12" xfId="156" applyFont="1" applyFill="1" applyBorder="1" applyAlignment="1">
      <alignment horizontal="center" vertical="center" wrapText="1"/>
    </xf>
    <xf numFmtId="0" fontId="40" fillId="37" borderId="13" xfId="156" applyFont="1" applyFill="1" applyBorder="1" applyAlignment="1">
      <alignment horizontal="center" vertical="center" wrapText="1"/>
    </xf>
    <xf numFmtId="0" fontId="54" fillId="36" borderId="11" xfId="156" applyFont="1" applyFill="1" applyBorder="1" applyAlignment="1">
      <alignment horizontal="center" wrapText="1"/>
    </xf>
    <xf numFmtId="0" fontId="37" fillId="0" borderId="44" xfId="156" applyFont="1" applyBorder="1" applyAlignment="1">
      <alignment horizontal="left" wrapText="1"/>
    </xf>
    <xf numFmtId="168" fontId="58" fillId="0" borderId="0" xfId="156" applyNumberFormat="1" applyFont="1" applyAlignment="1">
      <alignment horizontal="left" wrapText="1"/>
    </xf>
    <xf numFmtId="0" fontId="58" fillId="0" borderId="0" xfId="156" applyFont="1" applyAlignment="1">
      <alignment horizontal="left" wrapText="1"/>
    </xf>
    <xf numFmtId="0" fontId="69" fillId="0" borderId="12" xfId="154" applyFont="1" applyFill="1" applyBorder="1" applyAlignment="1">
      <alignment horizontal="center" vertical="center" wrapText="1"/>
    </xf>
    <xf numFmtId="0" fontId="0" fillId="0" borderId="14" xfId="0" applyBorder="1" applyAlignment="1">
      <alignment horizontal="center" vertical="center" wrapText="1"/>
    </xf>
    <xf numFmtId="0" fontId="69" fillId="0" borderId="14" xfId="154" applyFont="1" applyFill="1" applyBorder="1" applyAlignment="1">
      <alignment horizontal="center" vertical="center" wrapText="1"/>
    </xf>
    <xf numFmtId="0" fontId="0" fillId="0" borderId="13" xfId="0" applyBorder="1" applyAlignment="1">
      <alignment horizontal="center" vertical="center" wrapText="1"/>
    </xf>
    <xf numFmtId="0" fontId="53" fillId="42" borderId="12" xfId="154" applyFont="1" applyFill="1" applyBorder="1" applyAlignment="1">
      <alignment horizontal="left" vertical="top" wrapText="1" indent="2"/>
    </xf>
    <xf numFmtId="0" fontId="53" fillId="42" borderId="14" xfId="154" applyFont="1" applyFill="1" applyBorder="1" applyAlignment="1">
      <alignment horizontal="left" vertical="top" wrapText="1" indent="2"/>
    </xf>
    <xf numFmtId="0" fontId="0" fillId="0" borderId="14" xfId="0" applyBorder="1" applyAlignment="1">
      <alignment horizontal="left" vertical="top" wrapText="1" indent="2"/>
    </xf>
    <xf numFmtId="0" fontId="53" fillId="42" borderId="22" xfId="154" applyFont="1" applyFill="1" applyBorder="1" applyAlignment="1">
      <alignment horizontal="left" vertical="top" wrapText="1" indent="2"/>
    </xf>
    <xf numFmtId="0" fontId="0" fillId="0" borderId="51" xfId="0" applyBorder="1" applyAlignment="1">
      <alignment horizontal="left" vertical="top" wrapText="1" indent="2"/>
    </xf>
    <xf numFmtId="0" fontId="32" fillId="0" borderId="12" xfId="154" applyFont="1" applyBorder="1" applyAlignment="1">
      <alignment horizontal="left" vertical="center" wrapText="1"/>
    </xf>
    <xf numFmtId="0" fontId="32" fillId="0" borderId="14" xfId="154" applyFont="1"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64" fillId="0" borderId="12" xfId="154" applyFont="1" applyBorder="1" applyAlignment="1">
      <alignment horizontal="left" vertical="top" wrapText="1"/>
    </xf>
    <xf numFmtId="0" fontId="64" fillId="0" borderId="14" xfId="154" applyFont="1" applyBorder="1" applyAlignment="1">
      <alignment horizontal="left" vertical="top" wrapText="1"/>
    </xf>
    <xf numFmtId="0" fontId="0" fillId="0" borderId="13" xfId="0" applyBorder="1" applyAlignment="1">
      <alignment wrapText="1"/>
    </xf>
    <xf numFmtId="0" fontId="38" fillId="28" borderId="17" xfId="154" applyFont="1" applyFill="1" applyBorder="1" applyAlignment="1">
      <alignment vertical="center" wrapText="1"/>
    </xf>
    <xf numFmtId="0" fontId="38" fillId="0" borderId="15" xfId="0" applyFont="1" applyBorder="1" applyAlignment="1">
      <alignment wrapText="1"/>
    </xf>
    <xf numFmtId="0" fontId="37" fillId="0" borderId="16" xfId="0" applyFont="1" applyBorder="1" applyAlignment="1">
      <alignment wrapText="1"/>
    </xf>
    <xf numFmtId="0" fontId="36" fillId="0" borderId="12" xfId="154" applyFont="1" applyBorder="1" applyAlignment="1">
      <alignment horizontal="center" vertical="center" wrapText="1"/>
    </xf>
    <xf numFmtId="0" fontId="36" fillId="0" borderId="14" xfId="154" applyFont="1" applyBorder="1" applyAlignment="1">
      <alignment horizontal="center" vertical="center" wrapText="1"/>
    </xf>
    <xf numFmtId="0" fontId="36" fillId="0" borderId="13" xfId="154" applyFont="1" applyBorder="1" applyAlignment="1">
      <alignment horizontal="center" vertical="center" wrapText="1"/>
    </xf>
    <xf numFmtId="0" fontId="36" fillId="0" borderId="11" xfId="154" applyFont="1" applyBorder="1" applyAlignment="1">
      <alignment horizontal="center" vertical="center" wrapText="1"/>
    </xf>
    <xf numFmtId="0" fontId="0" fillId="42" borderId="14" xfId="0" applyFill="1" applyBorder="1" applyAlignment="1">
      <alignment horizontal="left" vertical="top" wrapText="1" indent="2"/>
    </xf>
    <xf numFmtId="0" fontId="0" fillId="42" borderId="13" xfId="0" applyFill="1" applyBorder="1" applyAlignment="1">
      <alignment horizontal="left" vertical="top" wrapText="1" indent="2"/>
    </xf>
    <xf numFmtId="0" fontId="68" fillId="42" borderId="12" xfId="154" applyFont="1" applyFill="1" applyBorder="1" applyAlignment="1">
      <alignment horizontal="left" vertical="top" wrapText="1" indent="2"/>
    </xf>
    <xf numFmtId="0" fontId="46" fillId="42" borderId="14" xfId="0" applyFont="1" applyFill="1" applyBorder="1" applyAlignment="1">
      <alignment horizontal="left" vertical="top" wrapText="1" indent="2"/>
    </xf>
    <xf numFmtId="0" fontId="0" fillId="0" borderId="13" xfId="0" applyBorder="1" applyAlignment="1">
      <alignment horizontal="left" vertical="top" wrapText="1" indent="2"/>
    </xf>
    <xf numFmtId="0" fontId="32" fillId="0" borderId="12" xfId="154" applyFont="1" applyBorder="1" applyAlignment="1">
      <alignment horizontal="left" vertical="top" wrapText="1"/>
    </xf>
    <xf numFmtId="0" fontId="32" fillId="0" borderId="14" xfId="154" applyFont="1" applyBorder="1" applyAlignment="1">
      <alignment horizontal="left" vertical="top" wrapText="1"/>
    </xf>
    <xf numFmtId="0" fontId="0" fillId="0" borderId="13" xfId="0" applyBorder="1" applyAlignment="1">
      <alignment horizontal="left" vertical="top" wrapText="1"/>
    </xf>
    <xf numFmtId="0" fontId="37" fillId="37" borderId="11" xfId="154" applyFont="1" applyFill="1" applyBorder="1" applyAlignment="1">
      <alignment horizontal="center" vertical="center" wrapText="1"/>
    </xf>
    <xf numFmtId="0" fontId="36" fillId="0" borderId="14" xfId="0" applyFont="1" applyBorder="1" applyAlignment="1">
      <alignment horizontal="left" vertical="center" wrapText="1"/>
    </xf>
    <xf numFmtId="0" fontId="36" fillId="0" borderId="13" xfId="0" applyFont="1" applyBorder="1" applyAlignment="1">
      <alignment horizontal="left" vertical="center" wrapText="1"/>
    </xf>
    <xf numFmtId="0" fontId="37" fillId="32" borderId="11" xfId="154" applyFont="1" applyFill="1" applyBorder="1" applyAlignment="1">
      <alignment horizontal="center" wrapText="1"/>
    </xf>
    <xf numFmtId="0" fontId="37" fillId="28" borderId="11" xfId="154" applyFont="1" applyFill="1" applyBorder="1" applyAlignment="1">
      <alignment horizontal="center" vertical="top" wrapText="1"/>
    </xf>
    <xf numFmtId="0" fontId="37" fillId="32" borderId="58" xfId="154" applyFont="1" applyFill="1" applyBorder="1" applyAlignment="1">
      <alignment horizontal="center" wrapText="1"/>
    </xf>
    <xf numFmtId="0" fontId="37" fillId="32" borderId="43" xfId="154" applyFont="1" applyFill="1" applyBorder="1" applyAlignment="1">
      <alignment horizontal="center" wrapText="1"/>
    </xf>
    <xf numFmtId="0" fontId="37" fillId="32" borderId="49" xfId="154" applyFont="1" applyFill="1" applyBorder="1" applyAlignment="1">
      <alignment horizontal="left" wrapText="1"/>
    </xf>
    <xf numFmtId="0" fontId="37" fillId="32" borderId="43" xfId="154" applyFont="1" applyFill="1" applyBorder="1" applyAlignment="1">
      <alignment horizontal="left" wrapText="1"/>
    </xf>
    <xf numFmtId="0" fontId="37" fillId="32" borderId="13" xfId="154" applyFont="1" applyFill="1" applyBorder="1" applyAlignment="1">
      <alignment horizontal="center" vertical="center" wrapText="1"/>
    </xf>
    <xf numFmtId="0" fontId="37" fillId="32" borderId="11" xfId="154" applyFont="1" applyFill="1" applyBorder="1" applyAlignment="1">
      <alignment horizontal="center" vertical="center" wrapText="1"/>
    </xf>
    <xf numFmtId="0" fontId="37" fillId="32" borderId="11" xfId="154" applyFont="1" applyFill="1" applyBorder="1" applyAlignment="1">
      <alignment horizontal="left" wrapText="1"/>
    </xf>
    <xf numFmtId="0" fontId="36" fillId="0" borderId="12" xfId="0" applyFont="1" applyBorder="1" applyAlignment="1">
      <alignment vertical="top" wrapText="1"/>
    </xf>
    <xf numFmtId="0" fontId="36" fillId="0" borderId="13" xfId="0" applyFont="1" applyBorder="1" applyAlignment="1">
      <alignment vertical="top" wrapText="1"/>
    </xf>
    <xf numFmtId="0" fontId="36" fillId="0" borderId="12" xfId="154" applyFont="1" applyBorder="1" applyAlignment="1">
      <alignment vertical="center" wrapText="1"/>
    </xf>
    <xf numFmtId="0" fontId="36" fillId="0" borderId="14" xfId="0" applyFont="1" applyBorder="1" applyAlignment="1">
      <alignment vertical="center" wrapText="1"/>
    </xf>
    <xf numFmtId="0" fontId="36" fillId="0" borderId="13" xfId="0" applyFont="1" applyBorder="1" applyAlignment="1">
      <alignment vertical="center" wrapText="1"/>
    </xf>
    <xf numFmtId="0" fontId="36" fillId="0" borderId="12" xfId="154" applyFont="1" applyBorder="1" applyAlignment="1">
      <alignment horizontal="left" vertical="center" wrapText="1"/>
    </xf>
    <xf numFmtId="0" fontId="36" fillId="0" borderId="14" xfId="154" applyFont="1" applyBorder="1" applyAlignment="1">
      <alignment horizontal="left" vertical="center" wrapText="1"/>
    </xf>
    <xf numFmtId="0" fontId="32" fillId="0" borderId="12" xfId="154" applyFont="1" applyFill="1" applyBorder="1" applyAlignment="1">
      <alignment horizontal="center" vertical="center" wrapText="1"/>
    </xf>
    <xf numFmtId="0" fontId="32" fillId="0" borderId="14" xfId="154" applyFont="1" applyFill="1" applyBorder="1" applyAlignment="1">
      <alignment horizontal="center" vertical="center" wrapText="1"/>
    </xf>
    <xf numFmtId="0" fontId="32" fillId="0" borderId="13" xfId="154" applyFont="1" applyFill="1" applyBorder="1" applyAlignment="1">
      <alignment horizontal="center" vertical="center" wrapText="1"/>
    </xf>
    <xf numFmtId="0" fontId="64" fillId="0" borderId="13" xfId="154" applyFont="1" applyBorder="1" applyAlignment="1">
      <alignment horizontal="left" vertical="top" wrapText="1"/>
    </xf>
    <xf numFmtId="0" fontId="36" fillId="0" borderId="12" xfId="154" applyFont="1" applyFill="1" applyBorder="1" applyAlignment="1">
      <alignment horizontal="center" vertical="center" wrapText="1"/>
    </xf>
    <xf numFmtId="0" fontId="36" fillId="0" borderId="14" xfId="154" applyFont="1" applyFill="1" applyBorder="1" applyAlignment="1">
      <alignment horizontal="center" vertical="center" wrapText="1"/>
    </xf>
    <xf numFmtId="0" fontId="36" fillId="0" borderId="13" xfId="154" applyFont="1" applyFill="1" applyBorder="1" applyAlignment="1">
      <alignment horizontal="center" vertical="center" wrapText="1"/>
    </xf>
    <xf numFmtId="0" fontId="53" fillId="42" borderId="13" xfId="154" applyFont="1" applyFill="1" applyBorder="1" applyAlignment="1">
      <alignment horizontal="left" vertical="top" wrapText="1" indent="2"/>
    </xf>
    <xf numFmtId="0" fontId="53" fillId="42" borderId="12" xfId="0" applyFont="1" applyFill="1" applyBorder="1" applyAlignment="1">
      <alignment horizontal="left" vertical="top" wrapText="1" indent="2"/>
    </xf>
    <xf numFmtId="0" fontId="53" fillId="42" borderId="14" xfId="0" applyFont="1" applyFill="1" applyBorder="1" applyAlignment="1">
      <alignment horizontal="left" vertical="top" wrapText="1" indent="2"/>
    </xf>
    <xf numFmtId="0" fontId="53" fillId="42" borderId="13" xfId="0" applyFont="1" applyFill="1" applyBorder="1" applyAlignment="1">
      <alignment horizontal="left" vertical="top" wrapText="1" indent="2"/>
    </xf>
    <xf numFmtId="0" fontId="53" fillId="42" borderId="11" xfId="0" applyFont="1" applyFill="1" applyBorder="1" applyAlignment="1">
      <alignment horizontal="left" vertical="top" wrapText="1" indent="2"/>
    </xf>
    <xf numFmtId="0" fontId="53" fillId="42" borderId="12" xfId="154" applyFont="1" applyFill="1" applyBorder="1" applyAlignment="1">
      <alignment horizontal="center" vertical="center" wrapText="1"/>
    </xf>
    <xf numFmtId="0" fontId="53" fillId="42" borderId="14" xfId="154" applyFont="1" applyFill="1" applyBorder="1" applyAlignment="1">
      <alignment horizontal="center" vertical="center" wrapText="1"/>
    </xf>
    <xf numFmtId="0" fontId="53" fillId="42" borderId="13" xfId="154" applyFont="1" applyFill="1" applyBorder="1" applyAlignment="1">
      <alignment horizontal="center" vertical="center" wrapText="1"/>
    </xf>
    <xf numFmtId="0" fontId="40" fillId="39" borderId="11" xfId="156" applyFont="1" applyFill="1" applyBorder="1" applyAlignment="1">
      <alignment horizontal="center" wrapText="1"/>
    </xf>
    <xf numFmtId="0" fontId="40" fillId="54" borderId="11" xfId="156" applyFont="1" applyFill="1" applyBorder="1" applyAlignment="1">
      <alignment horizontal="center" wrapText="1"/>
    </xf>
    <xf numFmtId="0" fontId="54" fillId="41" borderId="0" xfId="156" applyFont="1" applyFill="1" applyBorder="1" applyAlignment="1">
      <alignment horizontal="center" wrapText="1"/>
    </xf>
    <xf numFmtId="9" fontId="40" fillId="42" borderId="17" xfId="185" applyFont="1" applyFill="1" applyBorder="1" applyAlignment="1">
      <alignment horizontal="center" wrapText="1"/>
    </xf>
    <xf numFmtId="9" fontId="40" fillId="42" borderId="15" xfId="185" applyFont="1" applyFill="1" applyBorder="1" applyAlignment="1">
      <alignment horizontal="center" wrapText="1"/>
    </xf>
    <xf numFmtId="9" fontId="40" fillId="42" borderId="20" xfId="185" applyFont="1" applyFill="1" applyBorder="1" applyAlignment="1">
      <alignment horizontal="center" wrapText="1"/>
    </xf>
    <xf numFmtId="0" fontId="40" fillId="42" borderId="52" xfId="156" applyFont="1" applyFill="1" applyBorder="1" applyAlignment="1">
      <alignment horizontal="center" wrapText="1"/>
    </xf>
    <xf numFmtId="0" fontId="40" fillId="42" borderId="53" xfId="156" applyFont="1" applyFill="1" applyBorder="1" applyAlignment="1">
      <alignment horizontal="center" wrapText="1"/>
    </xf>
    <xf numFmtId="0" fontId="40" fillId="42" borderId="54" xfId="156" applyFont="1" applyFill="1" applyBorder="1" applyAlignment="1">
      <alignment horizontal="center" wrapText="1"/>
    </xf>
    <xf numFmtId="0" fontId="53" fillId="0" borderId="0" xfId="0" applyFont="1" applyBorder="1"/>
    <xf numFmtId="0" fontId="40" fillId="42" borderId="59" xfId="156" applyFont="1" applyFill="1" applyBorder="1" applyAlignment="1">
      <alignment horizontal="center" wrapText="1"/>
    </xf>
    <xf numFmtId="0" fontId="55" fillId="0" borderId="50" xfId="156" applyFont="1" applyFill="1" applyBorder="1" applyAlignment="1">
      <alignment horizontal="left" vertical="top" wrapText="1"/>
    </xf>
    <xf numFmtId="0" fontId="55" fillId="0" borderId="0" xfId="156" applyFont="1" applyFill="1" applyBorder="1" applyAlignment="1">
      <alignment horizontal="left" vertical="top" wrapText="1"/>
    </xf>
    <xf numFmtId="0" fontId="40" fillId="47" borderId="11" xfId="156" applyFont="1" applyFill="1" applyBorder="1" applyAlignment="1">
      <alignment horizontal="center"/>
    </xf>
    <xf numFmtId="0" fontId="30" fillId="0" borderId="50" xfId="156" applyFont="1" applyFill="1" applyBorder="1" applyAlignment="1">
      <alignment horizontal="left" vertical="center" wrapText="1"/>
    </xf>
    <xf numFmtId="0" fontId="30" fillId="0" borderId="0" xfId="156" applyFont="1" applyFill="1" applyBorder="1" applyAlignment="1">
      <alignment horizontal="left" vertical="center" wrapText="1"/>
    </xf>
    <xf numFmtId="0" fontId="44" fillId="32" borderId="17" xfId="156" applyFont="1" applyFill="1" applyBorder="1" applyAlignment="1">
      <alignment horizontal="left" vertical="center" wrapText="1"/>
    </xf>
    <xf numFmtId="0" fontId="1" fillId="0" borderId="20" xfId="147" applyBorder="1" applyAlignment="1">
      <alignment horizontal="left" vertical="center"/>
    </xf>
    <xf numFmtId="0" fontId="24" fillId="37" borderId="17" xfId="167" applyFont="1" applyFill="1" applyBorder="1" applyAlignment="1">
      <alignment horizontal="left" vertical="center" wrapText="1"/>
    </xf>
    <xf numFmtId="0" fontId="24" fillId="37" borderId="20" xfId="167" applyFont="1" applyFill="1" applyBorder="1" applyAlignment="1">
      <alignment horizontal="left" vertical="center" wrapText="1"/>
    </xf>
    <xf numFmtId="0" fontId="24" fillId="37" borderId="19" xfId="167" applyFont="1" applyFill="1" applyBorder="1" applyAlignment="1">
      <alignment horizontal="left" vertical="center" wrapText="1"/>
    </xf>
    <xf numFmtId="0" fontId="40" fillId="0" borderId="44" xfId="156" applyFont="1" applyBorder="1" applyAlignment="1">
      <alignment horizontal="center" wrapText="1"/>
    </xf>
    <xf numFmtId="0" fontId="40" fillId="48" borderId="11" xfId="156" applyFont="1" applyFill="1" applyBorder="1" applyAlignment="1">
      <alignment horizontal="center" wrapText="1"/>
    </xf>
    <xf numFmtId="0" fontId="54" fillId="36" borderId="51" xfId="156" applyFont="1" applyFill="1" applyBorder="1" applyAlignment="1">
      <alignment horizontal="center" wrapText="1"/>
    </xf>
    <xf numFmtId="0" fontId="54" fillId="0" borderId="49" xfId="156" applyFont="1" applyFill="1" applyBorder="1" applyAlignment="1">
      <alignment horizontal="center" wrapText="1"/>
    </xf>
    <xf numFmtId="0" fontId="0" fillId="0" borderId="44" xfId="0" applyBorder="1"/>
    <xf numFmtId="0" fontId="0" fillId="0" borderId="43" xfId="0" applyBorder="1"/>
    <xf numFmtId="0" fontId="40" fillId="37" borderId="17" xfId="156" applyFont="1" applyFill="1" applyBorder="1" applyAlignment="1">
      <alignment horizontal="left" wrapText="1"/>
    </xf>
    <xf numFmtId="0" fontId="40" fillId="37" borderId="15" xfId="156" applyFont="1" applyFill="1" applyBorder="1" applyAlignment="1">
      <alignment horizontal="left" wrapText="1"/>
    </xf>
    <xf numFmtId="0" fontId="40" fillId="37" borderId="32" xfId="156" applyFont="1" applyFill="1" applyBorder="1" applyAlignment="1">
      <alignment horizontal="center" vertical="center" wrapText="1"/>
    </xf>
    <xf numFmtId="0" fontId="40" fillId="37" borderId="15" xfId="156" applyFont="1" applyFill="1" applyBorder="1" applyAlignment="1">
      <alignment horizontal="center" vertical="center" wrapText="1"/>
    </xf>
    <xf numFmtId="0" fontId="40" fillId="37" borderId="20" xfId="156" applyFont="1" applyFill="1" applyBorder="1" applyAlignment="1">
      <alignment horizontal="center" vertical="center" wrapText="1"/>
    </xf>
    <xf numFmtId="0" fontId="51" fillId="0" borderId="12" xfId="154" applyFont="1" applyBorder="1" applyAlignment="1">
      <alignment horizontal="left" vertical="top" wrapText="1"/>
    </xf>
    <xf numFmtId="0" fontId="51" fillId="0" borderId="14" xfId="154" applyFont="1" applyBorder="1" applyAlignment="1">
      <alignment horizontal="left" vertical="top" wrapText="1"/>
    </xf>
    <xf numFmtId="0" fontId="51" fillId="0" borderId="13" xfId="154" applyFont="1" applyBorder="1" applyAlignment="1">
      <alignment horizontal="left" vertical="top" wrapText="1"/>
    </xf>
    <xf numFmtId="0" fontId="29" fillId="29" borderId="55" xfId="146" applyFont="1" applyFill="1" applyBorder="1" applyAlignment="1">
      <alignment horizontal="center"/>
    </xf>
    <xf numFmtId="0" fontId="48" fillId="32" borderId="17" xfId="154" applyFont="1" applyFill="1" applyBorder="1" applyAlignment="1">
      <alignment horizontal="left" wrapText="1"/>
    </xf>
    <xf numFmtId="0" fontId="48" fillId="32" borderId="16" xfId="154" applyFont="1" applyFill="1" applyBorder="1" applyAlignment="1">
      <alignment horizontal="left" wrapText="1"/>
    </xf>
    <xf numFmtId="0" fontId="48" fillId="32" borderId="12" xfId="154" applyFont="1" applyFill="1" applyBorder="1" applyAlignment="1">
      <alignment horizontal="center" vertical="center" wrapText="1"/>
    </xf>
    <xf numFmtId="0" fontId="48" fillId="32" borderId="13" xfId="154" applyFont="1" applyFill="1" applyBorder="1" applyAlignment="1">
      <alignment horizontal="center" vertical="center" wrapText="1"/>
    </xf>
    <xf numFmtId="0" fontId="48" fillId="32" borderId="11" xfId="154" applyFont="1" applyFill="1" applyBorder="1" applyAlignment="1">
      <alignment horizontal="center" wrapText="1"/>
    </xf>
    <xf numFmtId="0" fontId="24" fillId="0" borderId="11" xfId="146" applyFont="1" applyFill="1" applyBorder="1" applyAlignment="1">
      <alignment wrapText="1"/>
    </xf>
    <xf numFmtId="0" fontId="1" fillId="0" borderId="11" xfId="146" applyFont="1" applyBorder="1" applyAlignment="1">
      <alignment horizontal="center"/>
    </xf>
    <xf numFmtId="0" fontId="1" fillId="0" borderId="11" xfId="146" applyBorder="1" applyAlignment="1">
      <alignment horizontal="center"/>
    </xf>
    <xf numFmtId="0" fontId="51" fillId="0" borderId="11" xfId="154" applyFont="1" applyBorder="1" applyAlignment="1">
      <alignment horizontal="left" vertical="top" wrapText="1"/>
    </xf>
    <xf numFmtId="0" fontId="51" fillId="0" borderId="12" xfId="154" applyFont="1" applyBorder="1" applyAlignment="1">
      <alignment horizontal="center" vertical="center" wrapText="1"/>
    </xf>
    <xf numFmtId="0" fontId="51" fillId="0" borderId="14" xfId="154" applyFont="1" applyBorder="1" applyAlignment="1">
      <alignment horizontal="center" vertical="center" wrapText="1"/>
    </xf>
    <xf numFmtId="0" fontId="51" fillId="0" borderId="13" xfId="154" applyFont="1" applyBorder="1" applyAlignment="1">
      <alignment horizontal="center" vertical="center" wrapText="1"/>
    </xf>
    <xf numFmtId="0" fontId="50" fillId="30" borderId="12" xfId="146" applyFont="1" applyFill="1" applyBorder="1" applyAlignment="1">
      <alignment horizontal="left" vertical="center" wrapText="1"/>
    </xf>
    <xf numFmtId="0" fontId="50" fillId="30" borderId="13" xfId="146" applyFont="1" applyFill="1" applyBorder="1" applyAlignment="1">
      <alignment horizontal="left" vertical="center" wrapText="1"/>
    </xf>
    <xf numFmtId="0" fontId="50" fillId="0" borderId="12" xfId="146" applyFont="1" applyBorder="1" applyAlignment="1">
      <alignment horizontal="left" vertical="center" wrapText="1"/>
    </xf>
    <xf numFmtId="0" fontId="50" fillId="0" borderId="13" xfId="146" applyFont="1" applyBorder="1" applyAlignment="1">
      <alignment horizontal="left" vertical="center" wrapText="1"/>
    </xf>
    <xf numFmtId="0" fontId="24" fillId="0" borderId="11" xfId="146" applyFont="1" applyFill="1" applyBorder="1" applyAlignment="1">
      <alignment horizontal="center" wrapText="1"/>
    </xf>
    <xf numFmtId="0" fontId="24" fillId="0" borderId="12" xfId="146" applyFont="1" applyFill="1" applyBorder="1" applyAlignment="1">
      <alignment horizontal="center" wrapText="1"/>
    </xf>
    <xf numFmtId="0" fontId="24" fillId="0" borderId="13" xfId="146" applyFont="1" applyFill="1" applyBorder="1" applyAlignment="1">
      <alignment horizontal="center" wrapText="1"/>
    </xf>
    <xf numFmtId="0" fontId="36" fillId="0" borderId="11" xfId="154" applyFont="1" applyBorder="1" applyAlignment="1">
      <alignment horizontal="left" vertical="top" wrapText="1"/>
    </xf>
    <xf numFmtId="0" fontId="32" fillId="0" borderId="12" xfId="0" applyFont="1" applyBorder="1" applyAlignment="1">
      <alignment horizontal="left" vertical="center" wrapText="1"/>
    </xf>
    <xf numFmtId="0" fontId="32" fillId="0" borderId="13" xfId="0" applyFont="1" applyBorder="1" applyAlignment="1">
      <alignment horizontal="left" vertical="center" wrapText="1"/>
    </xf>
    <xf numFmtId="0" fontId="32" fillId="0" borderId="14" xfId="0" applyFont="1" applyBorder="1" applyAlignment="1">
      <alignment horizontal="left" vertical="center" wrapText="1"/>
    </xf>
    <xf numFmtId="0" fontId="32" fillId="30" borderId="12" xfId="0" applyFont="1" applyFill="1" applyBorder="1" applyAlignment="1">
      <alignment horizontal="left" vertical="center" wrapText="1"/>
    </xf>
    <xf numFmtId="0" fontId="32" fillId="30" borderId="13" xfId="0" applyFont="1" applyFill="1" applyBorder="1" applyAlignment="1">
      <alignment horizontal="left" vertical="center" wrapText="1"/>
    </xf>
    <xf numFmtId="0" fontId="36" fillId="0" borderId="12" xfId="154" applyFont="1" applyBorder="1" applyAlignment="1">
      <alignment horizontal="left" vertical="top" wrapText="1"/>
    </xf>
    <xf numFmtId="0" fontId="36" fillId="0" borderId="14" xfId="154" applyFont="1" applyBorder="1" applyAlignment="1">
      <alignment horizontal="left" vertical="top" wrapText="1"/>
    </xf>
    <xf numFmtId="0" fontId="36" fillId="0" borderId="13" xfId="154" applyFont="1" applyBorder="1" applyAlignment="1">
      <alignment horizontal="left" vertical="top" wrapText="1"/>
    </xf>
    <xf numFmtId="0" fontId="4" fillId="0" borderId="12" xfId="157" applyFont="1" applyBorder="1" applyAlignment="1">
      <alignment horizontal="center" vertical="center" wrapText="1"/>
    </xf>
    <xf numFmtId="0" fontId="4" fillId="0" borderId="14" xfId="157" applyFont="1" applyBorder="1" applyAlignment="1">
      <alignment horizontal="center" vertical="center" wrapText="1"/>
    </xf>
    <xf numFmtId="0" fontId="4" fillId="0" borderId="13" xfId="157" applyFont="1" applyBorder="1" applyAlignment="1">
      <alignment horizontal="center" vertical="center" wrapText="1"/>
    </xf>
    <xf numFmtId="0" fontId="37" fillId="32" borderId="17" xfId="154" applyFont="1" applyFill="1" applyBorder="1" applyAlignment="1">
      <alignment horizontal="left" wrapText="1"/>
    </xf>
    <xf numFmtId="0" fontId="37" fillId="32" borderId="16" xfId="154" applyFont="1" applyFill="1" applyBorder="1" applyAlignment="1">
      <alignment horizontal="left" wrapText="1"/>
    </xf>
    <xf numFmtId="0" fontId="4" fillId="0" borderId="12" xfId="154" applyFont="1" applyFill="1" applyBorder="1" applyAlignment="1">
      <alignment horizontal="left" wrapText="1"/>
    </xf>
    <xf numFmtId="0" fontId="4" fillId="0" borderId="13" xfId="154" applyFont="1" applyFill="1" applyBorder="1" applyAlignment="1">
      <alignment horizontal="left" wrapText="1"/>
    </xf>
    <xf numFmtId="0" fontId="4" fillId="0" borderId="11" xfId="154" applyFont="1" applyBorder="1" applyAlignment="1">
      <alignment horizontal="left" vertical="top" wrapText="1"/>
    </xf>
    <xf numFmtId="0" fontId="4" fillId="0" borderId="12" xfId="154" applyFont="1" applyFill="1" applyBorder="1" applyAlignment="1">
      <alignment horizontal="center" vertical="center" wrapText="1"/>
    </xf>
    <xf numFmtId="0" fontId="4" fillId="0" borderId="14" xfId="154" applyFont="1" applyFill="1" applyBorder="1" applyAlignment="1">
      <alignment horizontal="center" vertical="center" wrapText="1"/>
    </xf>
    <xf numFmtId="0" fontId="4" fillId="0" borderId="13" xfId="154" applyFont="1" applyFill="1" applyBorder="1" applyAlignment="1">
      <alignment horizontal="center" vertical="center" wrapText="1"/>
    </xf>
    <xf numFmtId="0" fontId="37" fillId="40" borderId="17" xfId="154" applyFont="1" applyFill="1" applyBorder="1" applyAlignment="1">
      <alignment horizontal="left" wrapText="1"/>
    </xf>
    <xf numFmtId="0" fontId="37" fillId="40" borderId="15" xfId="154" applyFont="1" applyFill="1" applyBorder="1" applyAlignment="1">
      <alignment horizontal="left" wrapText="1"/>
    </xf>
    <xf numFmtId="0" fontId="37" fillId="40" borderId="16" xfId="154" applyFont="1" applyFill="1" applyBorder="1" applyAlignment="1">
      <alignment horizontal="left" wrapText="1"/>
    </xf>
    <xf numFmtId="0" fontId="4" fillId="0" borderId="12" xfId="154" applyFont="1" applyBorder="1" applyAlignment="1">
      <alignment horizontal="center" vertical="center" wrapText="1"/>
    </xf>
    <xf numFmtId="0" fontId="4" fillId="0" borderId="14" xfId="154" applyFont="1" applyBorder="1" applyAlignment="1">
      <alignment horizontal="center" vertical="center" wrapText="1"/>
    </xf>
    <xf numFmtId="0" fontId="4" fillId="0" borderId="13" xfId="154" applyFont="1" applyBorder="1" applyAlignment="1">
      <alignment horizontal="center" vertical="center" wrapText="1"/>
    </xf>
    <xf numFmtId="0" fontId="4" fillId="0" borderId="12" xfId="154" applyFont="1" applyBorder="1" applyAlignment="1">
      <alignment horizontal="left" vertical="top" wrapText="1"/>
    </xf>
    <xf numFmtId="0" fontId="38" fillId="32" borderId="17" xfId="154" applyFont="1" applyFill="1" applyBorder="1" applyAlignment="1">
      <alignment horizontal="left" wrapText="1"/>
    </xf>
    <xf numFmtId="0" fontId="38" fillId="32" borderId="16" xfId="154" applyFont="1" applyFill="1" applyBorder="1" applyAlignment="1">
      <alignment horizontal="left" wrapText="1"/>
    </xf>
    <xf numFmtId="0" fontId="36" fillId="0" borderId="12" xfId="154" applyFont="1" applyFill="1" applyBorder="1" applyAlignment="1">
      <alignment horizontal="left" vertical="top" wrapText="1"/>
    </xf>
    <xf numFmtId="0" fontId="36" fillId="0" borderId="14" xfId="154" applyFont="1" applyFill="1" applyBorder="1" applyAlignment="1">
      <alignment horizontal="left" vertical="top" wrapText="1"/>
    </xf>
    <xf numFmtId="0" fontId="36" fillId="0" borderId="13" xfId="154" applyFont="1" applyFill="1" applyBorder="1" applyAlignment="1">
      <alignment horizontal="left" vertical="top" wrapText="1"/>
    </xf>
    <xf numFmtId="0" fontId="39" fillId="0" borderId="12" xfId="154" applyFont="1" applyFill="1" applyBorder="1" applyAlignment="1">
      <alignment horizontal="left" vertical="top" wrapText="1"/>
    </xf>
    <xf numFmtId="0" fontId="39" fillId="0" borderId="14" xfId="154" applyFont="1" applyFill="1" applyBorder="1" applyAlignment="1">
      <alignment horizontal="left" vertical="top" wrapText="1"/>
    </xf>
    <xf numFmtId="0" fontId="39" fillId="0" borderId="13" xfId="154" applyFont="1" applyFill="1" applyBorder="1" applyAlignment="1">
      <alignment horizontal="left" vertical="top" wrapText="1"/>
    </xf>
    <xf numFmtId="0" fontId="6" fillId="0" borderId="12" xfId="147" applyFont="1" applyBorder="1" applyAlignment="1">
      <alignment horizontal="left" vertical="top" wrapText="1"/>
    </xf>
    <xf numFmtId="0" fontId="6" fillId="0" borderId="14" xfId="147" applyFont="1" applyBorder="1" applyAlignment="1">
      <alignment horizontal="left" vertical="top" wrapText="1"/>
    </xf>
    <xf numFmtId="0" fontId="6" fillId="0" borderId="13" xfId="147" applyFont="1" applyBorder="1" applyAlignment="1">
      <alignment horizontal="left" vertical="top" wrapText="1"/>
    </xf>
    <xf numFmtId="0" fontId="4" fillId="0" borderId="12" xfId="154" applyFont="1" applyFill="1" applyBorder="1" applyAlignment="1">
      <alignment horizontal="left" vertical="top" wrapText="1"/>
    </xf>
    <xf numFmtId="0" fontId="4" fillId="0" borderId="14" xfId="154" applyFont="1" applyFill="1" applyBorder="1" applyAlignment="1">
      <alignment horizontal="left" vertical="top" wrapText="1"/>
    </xf>
    <xf numFmtId="0" fontId="4" fillId="0" borderId="13" xfId="154" applyFont="1" applyFill="1" applyBorder="1" applyAlignment="1">
      <alignment horizontal="left" vertical="top" wrapText="1"/>
    </xf>
    <xf numFmtId="0" fontId="4" fillId="0" borderId="12" xfId="160" applyFont="1" applyFill="1" applyBorder="1" applyAlignment="1">
      <alignment horizontal="center" vertical="center" wrapText="1"/>
    </xf>
    <xf numFmtId="0" fontId="4" fillId="0" borderId="14" xfId="160" applyFont="1" applyFill="1" applyBorder="1" applyAlignment="1">
      <alignment horizontal="center" vertical="center" wrapText="1"/>
    </xf>
    <xf numFmtId="0" fontId="4" fillId="0" borderId="13" xfId="160" applyFont="1" applyFill="1" applyBorder="1" applyAlignment="1">
      <alignment horizontal="center" vertical="center" wrapText="1"/>
    </xf>
    <xf numFmtId="0" fontId="37" fillId="32" borderId="17" xfId="154" applyFont="1" applyFill="1" applyBorder="1" applyAlignment="1">
      <alignment horizontal="center" wrapText="1"/>
    </xf>
    <xf numFmtId="0" fontId="37" fillId="32" borderId="15" xfId="154" applyFont="1" applyFill="1" applyBorder="1" applyAlignment="1">
      <alignment horizontal="center" wrapText="1"/>
    </xf>
    <xf numFmtId="0" fontId="37" fillId="32" borderId="16" xfId="154" applyFont="1" applyFill="1" applyBorder="1" applyAlignment="1">
      <alignment horizontal="center" wrapText="1"/>
    </xf>
    <xf numFmtId="0" fontId="36" fillId="0" borderId="13" xfId="154" applyFont="1" applyBorder="1" applyAlignment="1">
      <alignment horizontal="left" vertical="center" wrapText="1"/>
    </xf>
    <xf numFmtId="0" fontId="39" fillId="0" borderId="12" xfId="147" applyFont="1" applyFill="1" applyBorder="1" applyAlignment="1">
      <alignment wrapText="1"/>
    </xf>
    <xf numFmtId="0" fontId="39" fillId="0" borderId="13" xfId="147" applyFont="1" applyFill="1" applyBorder="1" applyAlignment="1">
      <alignment wrapText="1"/>
    </xf>
    <xf numFmtId="0" fontId="36" fillId="29" borderId="12" xfId="154" applyFont="1" applyFill="1" applyBorder="1" applyAlignment="1">
      <alignment horizontal="center" wrapText="1"/>
    </xf>
    <xf numFmtId="0" fontId="36" fillId="29" borderId="13" xfId="154" applyFont="1" applyFill="1" applyBorder="1" applyAlignment="1">
      <alignment horizontal="center" wrapText="1"/>
    </xf>
    <xf numFmtId="0" fontId="37" fillId="32" borderId="12" xfId="154" applyFont="1" applyFill="1" applyBorder="1" applyAlignment="1">
      <alignment horizontal="center" vertical="center" wrapText="1"/>
    </xf>
    <xf numFmtId="0" fontId="4" fillId="0" borderId="11" xfId="157" applyFont="1" applyBorder="1" applyAlignment="1">
      <alignment horizontal="left" vertical="top" wrapText="1"/>
    </xf>
    <xf numFmtId="0" fontId="37" fillId="32" borderId="17" xfId="154" applyFont="1" applyFill="1" applyBorder="1" applyAlignment="1">
      <alignment horizontal="left" vertical="top" wrapText="1"/>
    </xf>
    <xf numFmtId="0" fontId="37" fillId="32" borderId="16" xfId="154" applyFont="1" applyFill="1" applyBorder="1" applyAlignment="1">
      <alignment horizontal="left" vertical="top" wrapText="1"/>
    </xf>
    <xf numFmtId="0" fontId="4" fillId="0" borderId="12" xfId="154" applyFont="1" applyFill="1" applyBorder="1" applyAlignment="1">
      <alignment horizontal="center" vertical="top" wrapText="1"/>
    </xf>
    <xf numFmtId="0" fontId="4" fillId="0" borderId="14" xfId="154" applyFont="1" applyFill="1" applyBorder="1" applyAlignment="1">
      <alignment horizontal="center" vertical="top" wrapText="1"/>
    </xf>
    <xf numFmtId="0" fontId="4" fillId="0" borderId="13" xfId="154" applyFont="1" applyFill="1" applyBorder="1" applyAlignment="1">
      <alignment horizontal="center" vertical="top" wrapText="1"/>
    </xf>
    <xf numFmtId="0" fontId="4" fillId="30" borderId="12" xfId="154" applyFont="1" applyFill="1" applyBorder="1" applyAlignment="1">
      <alignment horizontal="center" vertical="center" wrapText="1"/>
    </xf>
    <xf numFmtId="0" fontId="4" fillId="30" borderId="14" xfId="154" applyFont="1" applyFill="1" applyBorder="1" applyAlignment="1">
      <alignment horizontal="center" vertical="center" wrapText="1"/>
    </xf>
    <xf numFmtId="0" fontId="4" fillId="30" borderId="13" xfId="154" applyFont="1" applyFill="1" applyBorder="1" applyAlignment="1">
      <alignment horizontal="center" vertical="center" wrapText="1"/>
    </xf>
    <xf numFmtId="0" fontId="4" fillId="25" borderId="12" xfId="158" applyFont="1" applyFill="1" applyBorder="1" applyAlignment="1">
      <alignment horizontal="left" vertical="center" wrapText="1"/>
    </xf>
    <xf numFmtId="0" fontId="4" fillId="25" borderId="14" xfId="158" applyFont="1" applyFill="1" applyBorder="1" applyAlignment="1">
      <alignment horizontal="left" vertical="center" wrapText="1"/>
    </xf>
    <xf numFmtId="0" fontId="4" fillId="25" borderId="13" xfId="158" applyFont="1" applyFill="1" applyBorder="1" applyAlignment="1">
      <alignment horizontal="left" vertical="center" wrapText="1"/>
    </xf>
    <xf numFmtId="0" fontId="32" fillId="30" borderId="12" xfId="154" applyFont="1" applyFill="1" applyBorder="1" applyAlignment="1">
      <alignment horizontal="left" vertical="top" wrapText="1"/>
    </xf>
    <xf numFmtId="0" fontId="32" fillId="30" borderId="14" xfId="154" applyFont="1" applyFill="1" applyBorder="1" applyAlignment="1">
      <alignment horizontal="left" vertical="top" wrapText="1"/>
    </xf>
    <xf numFmtId="0" fontId="32" fillId="30" borderId="13" xfId="154" applyFont="1" applyFill="1" applyBorder="1" applyAlignment="1">
      <alignment horizontal="left" vertical="top" wrapText="1"/>
    </xf>
    <xf numFmtId="0" fontId="6" fillId="0" borderId="12" xfId="173" applyFont="1" applyFill="1" applyBorder="1" applyAlignment="1">
      <alignment horizontal="left" vertical="center" wrapText="1"/>
    </xf>
    <xf numFmtId="0" fontId="6" fillId="0" borderId="14" xfId="173" applyFont="1" applyFill="1" applyBorder="1" applyAlignment="1">
      <alignment horizontal="left" vertical="center" wrapText="1"/>
    </xf>
    <xf numFmtId="0" fontId="6" fillId="0" borderId="13" xfId="173" applyFont="1" applyFill="1" applyBorder="1" applyAlignment="1">
      <alignment horizontal="left" vertical="center" wrapText="1"/>
    </xf>
    <xf numFmtId="0" fontId="54" fillId="27" borderId="60" xfId="154" applyFont="1" applyFill="1" applyBorder="1" applyAlignment="1">
      <alignment horizontal="center" wrapText="1"/>
    </xf>
    <xf numFmtId="0" fontId="54" fillId="27" borderId="57" xfId="154" applyFont="1" applyFill="1" applyBorder="1" applyAlignment="1">
      <alignment horizontal="center" wrapText="1"/>
    </xf>
    <xf numFmtId="0" fontId="54" fillId="27" borderId="61" xfId="154" applyFont="1" applyFill="1" applyBorder="1" applyAlignment="1">
      <alignment horizontal="center" wrapText="1"/>
    </xf>
    <xf numFmtId="0" fontId="37" fillId="37" borderId="17" xfId="154" applyFont="1" applyFill="1" applyBorder="1" applyAlignment="1">
      <alignment horizontal="left" wrapText="1"/>
    </xf>
    <xf numFmtId="0" fontId="37" fillId="37" borderId="15" xfId="154" applyFont="1" applyFill="1" applyBorder="1" applyAlignment="1">
      <alignment horizontal="left" wrapText="1"/>
    </xf>
    <xf numFmtId="0" fontId="38" fillId="32" borderId="15" xfId="154" applyFont="1" applyFill="1" applyBorder="1" applyAlignment="1">
      <alignment horizontal="left" wrapText="1"/>
    </xf>
    <xf numFmtId="0" fontId="36" fillId="30" borderId="11" xfId="154" applyFont="1" applyFill="1" applyBorder="1" applyAlignment="1">
      <alignment horizontal="left" vertical="top" wrapText="1"/>
    </xf>
    <xf numFmtId="0" fontId="36" fillId="30" borderId="12" xfId="154" applyFont="1" applyFill="1" applyBorder="1" applyAlignment="1">
      <alignment horizontal="center" vertical="center"/>
    </xf>
    <xf numFmtId="0" fontId="36" fillId="30" borderId="14" xfId="154" applyFont="1" applyFill="1" applyBorder="1" applyAlignment="1">
      <alignment horizontal="center" vertical="center"/>
    </xf>
    <xf numFmtId="0" fontId="36" fillId="30" borderId="13" xfId="154" applyFont="1" applyFill="1" applyBorder="1" applyAlignment="1">
      <alignment horizontal="center" vertical="center"/>
    </xf>
    <xf numFmtId="0" fontId="43" fillId="0" borderId="11" xfId="154" applyFont="1" applyBorder="1" applyAlignment="1">
      <alignment horizontal="left" vertical="top" wrapText="1"/>
    </xf>
    <xf numFmtId="0" fontId="36" fillId="0" borderId="12" xfId="154" applyFont="1" applyFill="1" applyBorder="1" applyAlignment="1">
      <alignment horizontal="left" vertical="center" wrapText="1"/>
    </xf>
    <xf numFmtId="0" fontId="36" fillId="0" borderId="14" xfId="154" applyFont="1" applyFill="1" applyBorder="1" applyAlignment="1">
      <alignment horizontal="left" vertical="center" wrapText="1"/>
    </xf>
    <xf numFmtId="0" fontId="36" fillId="0" borderId="13" xfId="154" applyFont="1" applyFill="1" applyBorder="1" applyAlignment="1">
      <alignment horizontal="left" vertical="center" wrapText="1"/>
    </xf>
    <xf numFmtId="0" fontId="0" fillId="0" borderId="11" xfId="0" applyFont="1" applyBorder="1" applyAlignment="1">
      <alignment horizontal="right" vertical="top" wrapText="1"/>
    </xf>
    <xf numFmtId="3" fontId="0" fillId="0" borderId="11" xfId="0" applyNumberFormat="1" applyFont="1" applyBorder="1" applyAlignment="1">
      <alignment horizontal="right" vertical="top" wrapText="1"/>
    </xf>
    <xf numFmtId="0" fontId="60" fillId="49" borderId="11" xfId="0" applyFont="1" applyFill="1" applyBorder="1" applyAlignment="1">
      <alignment horizontal="center" vertical="top" wrapText="1"/>
    </xf>
    <xf numFmtId="0" fontId="0" fillId="0" borderId="11" xfId="0" applyFont="1" applyBorder="1" applyAlignment="1">
      <alignment vertical="top" wrapText="1"/>
    </xf>
    <xf numFmtId="0" fontId="57" fillId="0" borderId="11" xfId="0" applyFont="1" applyBorder="1" applyAlignment="1">
      <alignment vertical="top" wrapText="1"/>
    </xf>
    <xf numFmtId="0" fontId="0" fillId="49" borderId="11" xfId="0" applyFont="1" applyFill="1" applyBorder="1" applyAlignment="1">
      <alignment vertical="top" wrapText="1"/>
    </xf>
    <xf numFmtId="0" fontId="0" fillId="50" borderId="11" xfId="0" applyFont="1" applyFill="1" applyBorder="1" applyAlignment="1">
      <alignment vertical="top" wrapText="1"/>
    </xf>
    <xf numFmtId="0" fontId="59" fillId="0" borderId="0" xfId="0" applyFont="1" applyAlignment="1">
      <alignment horizontal="center"/>
    </xf>
    <xf numFmtId="0" fontId="61" fillId="49" borderId="11" xfId="136" applyFont="1" applyFill="1" applyBorder="1" applyAlignment="1" applyProtection="1">
      <alignment horizontal="center" vertical="top" wrapText="1"/>
    </xf>
    <xf numFmtId="0" fontId="40" fillId="52" borderId="11" xfId="0" applyFont="1" applyFill="1" applyBorder="1" applyAlignment="1">
      <alignment vertical="top" wrapText="1"/>
    </xf>
    <xf numFmtId="0" fontId="40" fillId="52" borderId="11" xfId="0" applyFont="1" applyFill="1" applyBorder="1" applyAlignment="1">
      <alignment wrapText="1"/>
    </xf>
    <xf numFmtId="0" fontId="40" fillId="32" borderId="11" xfId="154" applyFont="1" applyFill="1" applyBorder="1" applyAlignment="1">
      <alignment horizontal="center" wrapText="1"/>
    </xf>
  </cellXfs>
  <cellStyles count="203">
    <cellStyle name="20% - Accent1 2" xfId="1"/>
    <cellStyle name="20% - Accent1 3" xfId="2"/>
    <cellStyle name="20% - Accent1 4" xfId="3"/>
    <cellStyle name="20% - Accent2 2" xfId="4"/>
    <cellStyle name="20% - Accent2 3" xfId="5"/>
    <cellStyle name="20% - Accent2 4" xfId="6"/>
    <cellStyle name="20% - Accent3 2" xfId="7"/>
    <cellStyle name="20% - Accent3 3" xfId="8"/>
    <cellStyle name="20% - Accent3 4" xfId="9"/>
    <cellStyle name="20% - Accent4 2" xfId="10"/>
    <cellStyle name="20% - Accent4 3" xfId="11"/>
    <cellStyle name="20% - Accent4 4" xfId="12"/>
    <cellStyle name="20% - Accent5 2" xfId="13"/>
    <cellStyle name="20% - Accent5 3" xfId="14"/>
    <cellStyle name="20% - Accent5 4" xfId="15"/>
    <cellStyle name="20% - Accent6 2" xfId="16"/>
    <cellStyle name="20% - Accent6 3" xfId="17"/>
    <cellStyle name="20% - Accent6 4" xfId="18"/>
    <cellStyle name="40% - Accent1 2" xfId="19"/>
    <cellStyle name="40% - Accent1 3" xfId="20"/>
    <cellStyle name="40% - Accent1 4" xfId="21"/>
    <cellStyle name="40% - Accent2 2" xfId="22"/>
    <cellStyle name="40% - Accent2 3" xfId="23"/>
    <cellStyle name="40% - Accent2 4" xfId="24"/>
    <cellStyle name="40% - Accent3 2" xfId="25"/>
    <cellStyle name="40% - Accent3 3" xfId="26"/>
    <cellStyle name="40% - Accent3 4" xfId="27"/>
    <cellStyle name="40% - Accent4 2" xfId="28"/>
    <cellStyle name="40% - Accent4 3" xfId="29"/>
    <cellStyle name="40% - Accent4 4" xfId="30"/>
    <cellStyle name="40% - Accent5 2" xfId="31"/>
    <cellStyle name="40% - Accent5 3" xfId="32"/>
    <cellStyle name="40% - Accent5 4" xfId="33"/>
    <cellStyle name="40% - Accent6 2" xfId="34"/>
    <cellStyle name="40% - Accent6 3" xfId="35"/>
    <cellStyle name="40% - Accent6 4" xfId="36"/>
    <cellStyle name="60% - Accent1 2" xfId="37"/>
    <cellStyle name="60% - Accent1 3" xfId="38"/>
    <cellStyle name="60% - Accent1 4" xfId="39"/>
    <cellStyle name="60% - Accent2 2" xfId="40"/>
    <cellStyle name="60% - Accent2 3" xfId="41"/>
    <cellStyle name="60% - Accent2 4" xfId="42"/>
    <cellStyle name="60% - Accent3 2" xfId="43"/>
    <cellStyle name="60% - Accent3 3" xfId="44"/>
    <cellStyle name="60% - Accent3 4" xfId="45"/>
    <cellStyle name="60% - Accent4 2" xfId="46"/>
    <cellStyle name="60% - Accent4 3" xfId="47"/>
    <cellStyle name="60% - Accent4 4" xfId="48"/>
    <cellStyle name="60% - Accent5 2" xfId="49"/>
    <cellStyle name="60% - Accent5 3" xfId="50"/>
    <cellStyle name="60% - Accent5 4" xfId="51"/>
    <cellStyle name="60% - Accent6 2" xfId="52"/>
    <cellStyle name="60% - Accent6 3" xfId="53"/>
    <cellStyle name="60% - Accent6 4" xfId="54"/>
    <cellStyle name="Accent1 2" xfId="55"/>
    <cellStyle name="Accent1 3" xfId="56"/>
    <cellStyle name="Accent1 4" xfId="57"/>
    <cellStyle name="Accent2 2" xfId="58"/>
    <cellStyle name="Accent2 3" xfId="59"/>
    <cellStyle name="Accent2 4" xfId="60"/>
    <cellStyle name="Accent3 2" xfId="61"/>
    <cellStyle name="Accent3 3" xfId="62"/>
    <cellStyle name="Accent3 4" xfId="63"/>
    <cellStyle name="Accent4 2" xfId="64"/>
    <cellStyle name="Accent4 3" xfId="65"/>
    <cellStyle name="Accent4 4" xfId="66"/>
    <cellStyle name="Accent5 2" xfId="67"/>
    <cellStyle name="Accent5 3" xfId="68"/>
    <cellStyle name="Accent5 4" xfId="69"/>
    <cellStyle name="Accent6 2" xfId="70"/>
    <cellStyle name="Accent6 3" xfId="71"/>
    <cellStyle name="Accent6 4" xfId="72"/>
    <cellStyle name="Bad 2" xfId="73"/>
    <cellStyle name="Bad 3" xfId="74"/>
    <cellStyle name="Bad 4" xfId="75"/>
    <cellStyle name="Calculation 2" xfId="76"/>
    <cellStyle name="Calculation 3" xfId="77"/>
    <cellStyle name="Calculation 4" xfId="78"/>
    <cellStyle name="Check Cell 2" xfId="79"/>
    <cellStyle name="Check Cell 3" xfId="80"/>
    <cellStyle name="Check Cell 4" xfId="81"/>
    <cellStyle name="Comma" xfId="82" builtinId="3"/>
    <cellStyle name="Comma 2" xfId="83"/>
    <cellStyle name="Comma 2 2" xfId="84"/>
    <cellStyle name="Comma 2 2 2" xfId="85"/>
    <cellStyle name="Comma 2 2 3" xfId="86"/>
    <cellStyle name="Comma 2 2 3 2" xfId="87"/>
    <cellStyle name="Comma 2 2 3 2 2" xfId="88"/>
    <cellStyle name="Comma 2 2 3 2 2 2" xfId="89"/>
    <cellStyle name="Comma 2 2 3 2 3" xfId="90"/>
    <cellStyle name="Comma 2 2 3 2 3 2" xfId="91"/>
    <cellStyle name="Comma 2 2 3 2 4" xfId="92"/>
    <cellStyle name="Comma 2 2 4" xfId="93"/>
    <cellStyle name="Comma 2 2 5" xfId="94"/>
    <cellStyle name="Comma 2 3" xfId="95"/>
    <cellStyle name="Comma 2 4" xfId="96"/>
    <cellStyle name="Comma 2 4 2" xfId="97"/>
    <cellStyle name="Comma 2 4 2 2" xfId="98"/>
    <cellStyle name="Comma 2 4 3" xfId="99"/>
    <cellStyle name="Comma 2 5" xfId="100"/>
    <cellStyle name="Comma 2 6" xfId="101"/>
    <cellStyle name="Comma 3" xfId="102"/>
    <cellStyle name="Comma 3 2" xfId="103"/>
    <cellStyle name="Comma 3 2 2" xfId="104"/>
    <cellStyle name="Comma 3 3" xfId="105"/>
    <cellStyle name="Comma 4" xfId="106"/>
    <cellStyle name="Comma 4 2" xfId="107"/>
    <cellStyle name="Comma 4 2 2" xfId="108"/>
    <cellStyle name="Comma 4 3" xfId="109"/>
    <cellStyle name="Comma 5" xfId="110"/>
    <cellStyle name="Comma 6" xfId="111"/>
    <cellStyle name="Comma 7" xfId="112"/>
    <cellStyle name="Comma 8" xfId="113"/>
    <cellStyle name="Comma 8 2" xfId="114"/>
    <cellStyle name="Comma 9" xfId="115"/>
    <cellStyle name="Currency 2" xfId="116"/>
    <cellStyle name="Currency 2 2" xfId="117"/>
    <cellStyle name="Explanatory Text 2" xfId="118"/>
    <cellStyle name="Explanatory Text 3" xfId="119"/>
    <cellStyle name="Explanatory Text 4" xfId="120"/>
    <cellStyle name="Good 2" xfId="121"/>
    <cellStyle name="Good 3" xfId="122"/>
    <cellStyle name="Good 4" xfId="123"/>
    <cellStyle name="Heading 1 2" xfId="124"/>
    <cellStyle name="Heading 1 3" xfId="125"/>
    <cellStyle name="Heading 1 4" xfId="126"/>
    <cellStyle name="Heading 2 2" xfId="127"/>
    <cellStyle name="Heading 2 3" xfId="128"/>
    <cellStyle name="Heading 2 4" xfId="129"/>
    <cellStyle name="Heading 3 2" xfId="130"/>
    <cellStyle name="Heading 3 3" xfId="131"/>
    <cellStyle name="Heading 3 4" xfId="132"/>
    <cellStyle name="Heading 4 2" xfId="133"/>
    <cellStyle name="Heading 4 3" xfId="134"/>
    <cellStyle name="Heading 4 4" xfId="135"/>
    <cellStyle name="Hyperlink" xfId="136" builtinId="8"/>
    <cellStyle name="Input 2" xfId="137"/>
    <cellStyle name="Input 3" xfId="138"/>
    <cellStyle name="Input 4" xfId="139"/>
    <cellStyle name="Linked Cell 2" xfId="140"/>
    <cellStyle name="Linked Cell 3" xfId="141"/>
    <cellStyle name="Linked Cell 4" xfId="142"/>
    <cellStyle name="Neutral 2" xfId="143"/>
    <cellStyle name="Neutral 3" xfId="144"/>
    <cellStyle name="Neutral 4" xfId="145"/>
    <cellStyle name="Normal" xfId="0" builtinId="0"/>
    <cellStyle name="Normal 10" xfId="146"/>
    <cellStyle name="Normal 2" xfId="147"/>
    <cellStyle name="Normal 3" xfId="148"/>
    <cellStyle name="Normal 3 2" xfId="149"/>
    <cellStyle name="Normal 3 2 2" xfId="150"/>
    <cellStyle name="Normal 3 2 2 2" xfId="151"/>
    <cellStyle name="Normal 3 2 2 3" xfId="152"/>
    <cellStyle name="Normal 3 2 3" xfId="153"/>
    <cellStyle name="Normal 3 2 3 2" xfId="154"/>
    <cellStyle name="Normal 3 2 3 2 2" xfId="155"/>
    <cellStyle name="Normal 3 2 3 2 3" xfId="156"/>
    <cellStyle name="Normal 3 2 3 2 3 2" xfId="157"/>
    <cellStyle name="Normal 3 2 3 2 4" xfId="158"/>
    <cellStyle name="Normal 3 2 3 2 4 2" xfId="159"/>
    <cellStyle name="Normal 3 2 3 2 5" xfId="160"/>
    <cellStyle name="Normal 3 2 4" xfId="161"/>
    <cellStyle name="Normal 3 2 5" xfId="162"/>
    <cellStyle name="Normal 3 3" xfId="163"/>
    <cellStyle name="Normal 3 4" xfId="164"/>
    <cellStyle name="Normal 3 4 2" xfId="165"/>
    <cellStyle name="Normal 3 4 2 2" xfId="166"/>
    <cellStyle name="Normal 3 4 3" xfId="167"/>
    <cellStyle name="Normal 3 5" xfId="168"/>
    <cellStyle name="Normal 3 6" xfId="169"/>
    <cellStyle name="Normal 4" xfId="170"/>
    <cellStyle name="Normal 5" xfId="171"/>
    <cellStyle name="Normal 6" xfId="172"/>
    <cellStyle name="Normal 7" xfId="173"/>
    <cellStyle name="Normal 7 2" xfId="174"/>
    <cellStyle name="Normal 8" xfId="175"/>
    <cellStyle name="Normal 8 2" xfId="176"/>
    <cellStyle name="Normal 9" xfId="177"/>
    <cellStyle name="Normal 9 2" xfId="178"/>
    <cellStyle name="Note 2" xfId="179"/>
    <cellStyle name="Note 3" xfId="180"/>
    <cellStyle name="Note 4" xfId="181"/>
    <cellStyle name="Output 2" xfId="182"/>
    <cellStyle name="Output 3" xfId="183"/>
    <cellStyle name="Output 4" xfId="184"/>
    <cellStyle name="Percent" xfId="185" builtinId="5"/>
    <cellStyle name="Percent 2" xfId="186"/>
    <cellStyle name="Percent 2 2" xfId="187"/>
    <cellStyle name="Percent 3" xfId="188"/>
    <cellStyle name="Percent 3 2" xfId="189"/>
    <cellStyle name="Percent 4" xfId="190"/>
    <cellStyle name="Percent 5" xfId="191"/>
    <cellStyle name="Percent 6" xfId="192"/>
    <cellStyle name="Style 1" xfId="193"/>
    <cellStyle name="Title 2" xfId="194"/>
    <cellStyle name="Title 3" xfId="195"/>
    <cellStyle name="Title 4" xfId="196"/>
    <cellStyle name="Total 2" xfId="197"/>
    <cellStyle name="Total 3" xfId="198"/>
    <cellStyle name="Total 4" xfId="199"/>
    <cellStyle name="Warning Text 2" xfId="200"/>
    <cellStyle name="Warning Text 3" xfId="201"/>
    <cellStyle name="Warning Text 4" xfId="20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vahanen/Local%20Settings/Temporary%20Internet%20Files/Content.Outlook/H3T122T9/Allocations%20%25%20per%20work%20area%2015%2012%202010%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vahanen/Documents/GP/GP%20framework%20doc%202011-15/Rome%20II/GP%20Workplan%20and%20Budget%202011-2013%207%20March%202011%20FINAL%20split%20in%20wa%20and%20sfxl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vahanen/Local%20Settings/Temporary%20Internet%20Files/Content.Outlook/H3T122T9/GP%20consolidated%20workplan%20and%20budget%2016%20May-%20CR%20edits%20to%20Output%207%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kwu/Documents/GP%20Framework%20document-%20Support%20to%20National%20REDD+%20Action/Final%20versions/English/Global%20Programme%20consolidated%20results%20framework%20workplan%20and%20budg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vahanen/Local%20Settings/Temporary%20Internet%20Files/Content.Outlook/H3T122T9/UNREDD%20Programme%20Secretariat%20Work%20Plan%20estimates%202011-2013%2017%20Ma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son/AppData/Local/Microsoft/Windows/Temporary%20Internet%20Files/Content.Outlook/9QTNEPTH/Revised%20Consolidated%20workplan%20and%20budget%202013%20-%2020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kwu/Documents/2013-2014%20UN-REDD%20PROGRAMME%20WORK%20PLAN%20AND%20BUDGET/2014%20budget%20revision/22%20November%202013/SNA%202014%20Budget%20revision%2022%20November%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kwu/Documents/2013-2014%20UN-REDD%20PROGRAMME%20WORK%20PLAN%20AND%20BUDGET/October/FINAL%20Consolidated%20UN-REDD%20Programme%20SNA-GP%20Results%20Framework%20Work%20Plan%20and%20Budget%201210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kwu/Documents/2013-2014%20UN-REDD%20PROGRAMME%20WORK%20PLAN%20AND%20BUDGET/2014%20budget%20revision/26%20Nove%202013/SNA%202014%20Budget%20revision%2026%20Novembe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Ikwu/Documents/2013-2014%20UN-REDD%20PROGRAMME%20WORK%20PLAN%20AND%20BUDGET/2014%20budget%20revision/26%20Nove%202013/Revised%20Consolidated%20workplan%20and%20budget%202013%20-%20201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vahanen/Documents/GP/GP%20framework%20doc%202011-15/Rome%20II/GP%20Workplan%20and%20Budget%202011-2013%203%20May%20%20OLD%20only%202%20yea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P1 chart"/>
      <sheetName val="Global Programme 1"/>
      <sheetName val="GP1 data"/>
      <sheetName val="5 y framework"/>
      <sheetName val="Secretariat"/>
      <sheetName val="Sheet4"/>
      <sheetName val="Sheet1"/>
      <sheetName val="GP1_chart"/>
      <sheetName val="Global_Programme_1"/>
      <sheetName val="GP1_data"/>
      <sheetName val="5_y_framework"/>
    </sheetNames>
    <sheetDataSet>
      <sheetData sheetId="0" refreshError="1"/>
      <sheetData sheetId="1" refreshError="1"/>
      <sheetData sheetId="2">
        <row r="10">
          <cell r="F10">
            <v>6782705.3120833328</v>
          </cell>
        </row>
      </sheetData>
      <sheetData sheetId="3"/>
      <sheetData sheetId="4"/>
      <sheetData sheetId="5"/>
      <sheetData sheetId="6"/>
      <sheetData sheetId="7"/>
      <sheetData sheetId="8"/>
      <sheetData sheetId="9">
        <row r="10">
          <cell r="F10">
            <v>6782705.3120833328</v>
          </cell>
        </row>
      </sheetData>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2010 budget"/>
      <sheetName val="2011 - 2012 Biennium "/>
      <sheetName val="Work Plan 2011 "/>
      <sheetName val="Annual Work Plan 2011"/>
      <sheetName val="Overview"/>
      <sheetName val="Consolidated workplan"/>
      <sheetName val="Work Plan 2012-2015 "/>
      <sheetName val="Work Plan 2012-2013"/>
      <sheetName val="UN-REDD 2010 WORKPLAN"/>
      <sheetName val="Sheet4"/>
      <sheetName val="Sheet1"/>
    </sheetNames>
    <sheetDataSet>
      <sheetData sheetId="0"/>
      <sheetData sheetId="1"/>
      <sheetData sheetId="2"/>
      <sheetData sheetId="3"/>
      <sheetData sheetId="4">
        <row r="15">
          <cell r="C15">
            <v>981421</v>
          </cell>
          <cell r="D15">
            <v>828635</v>
          </cell>
          <cell r="E15">
            <v>1516430</v>
          </cell>
          <cell r="H15">
            <v>1133217</v>
          </cell>
          <cell r="I15">
            <v>914376</v>
          </cell>
          <cell r="J15">
            <v>2065134.5</v>
          </cell>
        </row>
        <row r="17">
          <cell r="F17">
            <v>26337204.079999998</v>
          </cell>
          <cell r="K17">
            <v>27902165.899999999</v>
          </cell>
        </row>
      </sheetData>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sl worksheet"/>
      <sheetName val="FAO II"/>
      <sheetName val="FAO"/>
      <sheetName val="UNDP"/>
      <sheetName val="revised UNEP"/>
      <sheetName val="UNEP"/>
      <sheetName val="Sheet2"/>
      <sheetName val="Sheet3"/>
    </sheetNames>
    <sheetDataSet>
      <sheetData sheetId="0" refreshError="1"/>
      <sheetData sheetId="1" refreshError="1"/>
      <sheetData sheetId="2" refreshError="1"/>
      <sheetData sheetId="3" refreshError="1"/>
      <sheetData sheetId="4" refreshError="1">
        <row r="202">
          <cell r="N202">
            <v>5000</v>
          </cell>
        </row>
        <row r="210">
          <cell r="N210">
            <v>0</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nsl worksheet"/>
      <sheetName val="FAO "/>
      <sheetName val="UNDP"/>
      <sheetName val=" UNEP"/>
      <sheetName val="WA4 &amp; 6 final"/>
      <sheetName val="Summary UNDG categories"/>
      <sheetName val="2012 estimate"/>
      <sheetName val="Overview (2)"/>
      <sheetName val="Sheet1"/>
    </sheetNames>
    <sheetDataSet>
      <sheetData sheetId="0">
        <row r="11">
          <cell r="P11">
            <v>0</v>
          </cell>
        </row>
        <row r="19">
          <cell r="J19">
            <v>554434.65879105008</v>
          </cell>
          <cell r="P19">
            <v>556841.91</v>
          </cell>
        </row>
      </sheetData>
      <sheetData sheetId="1">
        <row r="14">
          <cell r="M14">
            <v>304820.10199999996</v>
          </cell>
          <cell r="N14">
            <v>304820.10199999996</v>
          </cell>
          <cell r="P14">
            <v>535000</v>
          </cell>
        </row>
        <row r="22">
          <cell r="M22">
            <v>0</v>
          </cell>
          <cell r="N22">
            <v>0</v>
          </cell>
          <cell r="P22">
            <v>0</v>
          </cell>
        </row>
        <row r="30">
          <cell r="M30">
            <v>1615700.3209999998</v>
          </cell>
          <cell r="N30">
            <v>1615700.3209999998</v>
          </cell>
          <cell r="P30">
            <v>1647800.3209999998</v>
          </cell>
        </row>
        <row r="38">
          <cell r="M38">
            <v>144450</v>
          </cell>
          <cell r="N38">
            <v>139100</v>
          </cell>
          <cell r="P38">
            <v>125832</v>
          </cell>
        </row>
        <row r="46">
          <cell r="M46">
            <v>4488650</v>
          </cell>
          <cell r="N46">
            <v>4745450</v>
          </cell>
          <cell r="P46">
            <v>4804300</v>
          </cell>
        </row>
        <row r="54">
          <cell r="M54">
            <v>315650</v>
          </cell>
          <cell r="N54">
            <v>171200</v>
          </cell>
          <cell r="P54">
            <v>0</v>
          </cell>
        </row>
        <row r="65">
          <cell r="M65">
            <v>1223077.4099999999</v>
          </cell>
          <cell r="N65">
            <v>1501277.41</v>
          </cell>
          <cell r="P65">
            <v>1506627.41</v>
          </cell>
        </row>
        <row r="73">
          <cell r="M73">
            <v>321000</v>
          </cell>
          <cell r="N73">
            <v>321000</v>
          </cell>
          <cell r="P73">
            <v>321000</v>
          </cell>
        </row>
        <row r="81">
          <cell r="M81">
            <v>474837.11</v>
          </cell>
          <cell r="N81">
            <v>389237.11</v>
          </cell>
          <cell r="P81">
            <v>533688.18000000005</v>
          </cell>
        </row>
        <row r="89">
          <cell r="M89">
            <v>304950</v>
          </cell>
          <cell r="N89">
            <v>304950</v>
          </cell>
          <cell r="P89">
            <v>304950</v>
          </cell>
        </row>
        <row r="97">
          <cell r="M97">
            <v>548977.41</v>
          </cell>
          <cell r="N97">
            <v>445947.11</v>
          </cell>
          <cell r="P97">
            <v>445947.11</v>
          </cell>
        </row>
        <row r="105">
          <cell r="M105">
            <v>267500</v>
          </cell>
          <cell r="N105">
            <v>267500</v>
          </cell>
          <cell r="P105">
            <v>588500</v>
          </cell>
        </row>
        <row r="113">
          <cell r="M113">
            <v>214000</v>
          </cell>
          <cell r="N113">
            <v>214000</v>
          </cell>
          <cell r="P113">
            <v>214000</v>
          </cell>
        </row>
        <row r="125">
          <cell r="M125">
            <v>392125.04</v>
          </cell>
          <cell r="N125">
            <v>258375.04000000001</v>
          </cell>
          <cell r="P125">
            <v>317225.03999999998</v>
          </cell>
        </row>
        <row r="133">
          <cell r="M133">
            <v>270760.28999999998</v>
          </cell>
          <cell r="N133">
            <v>292160.28999999998</v>
          </cell>
          <cell r="P133">
            <v>301683.28999999998</v>
          </cell>
        </row>
        <row r="141">
          <cell r="M141">
            <v>214000.535</v>
          </cell>
          <cell r="N141">
            <v>214000.535</v>
          </cell>
          <cell r="P141">
            <v>214000.42799999999</v>
          </cell>
        </row>
        <row r="152">
          <cell r="M152">
            <v>933010.04</v>
          </cell>
          <cell r="N152">
            <v>851690.04</v>
          </cell>
          <cell r="P152">
            <v>693865.04</v>
          </cell>
        </row>
        <row r="160">
          <cell r="M160">
            <v>264616.34999999998</v>
          </cell>
          <cell r="N160">
            <v>200416.35</v>
          </cell>
          <cell r="P160">
            <v>218364.53</v>
          </cell>
        </row>
        <row r="168">
          <cell r="M168">
            <v>275316.34999999998</v>
          </cell>
          <cell r="N168">
            <v>227166.35</v>
          </cell>
          <cell r="P168">
            <v>195066.35</v>
          </cell>
        </row>
        <row r="181">
          <cell r="M181">
            <v>281374.69</v>
          </cell>
          <cell r="N181">
            <v>377674.69</v>
          </cell>
          <cell r="P181">
            <v>353550.47</v>
          </cell>
        </row>
        <row r="188">
          <cell r="M188">
            <v>366974.69</v>
          </cell>
          <cell r="N188">
            <v>366974.69</v>
          </cell>
          <cell r="P188">
            <v>345574.69</v>
          </cell>
        </row>
        <row r="196">
          <cell r="M196">
            <v>571626.1</v>
          </cell>
          <cell r="N196">
            <v>603726.1</v>
          </cell>
          <cell r="P196">
            <v>539526.1</v>
          </cell>
        </row>
        <row r="204">
          <cell r="M204">
            <v>453926.1</v>
          </cell>
          <cell r="N204">
            <v>518126.1</v>
          </cell>
          <cell r="P204">
            <v>539526.1</v>
          </cell>
        </row>
        <row r="212">
          <cell r="M212">
            <v>288900</v>
          </cell>
          <cell r="N212">
            <v>348820</v>
          </cell>
          <cell r="P212">
            <v>289863</v>
          </cell>
        </row>
        <row r="225">
          <cell r="M225">
            <v>224700</v>
          </cell>
          <cell r="N225">
            <v>310300.00000000006</v>
          </cell>
          <cell r="P225">
            <v>256907</v>
          </cell>
        </row>
        <row r="233">
          <cell r="M233">
            <v>485196.85</v>
          </cell>
          <cell r="N233">
            <v>442396.85</v>
          </cell>
          <cell r="P233">
            <v>431696.85</v>
          </cell>
        </row>
        <row r="241">
          <cell r="M241">
            <v>406600.00000000006</v>
          </cell>
          <cell r="N241">
            <v>534999.99572000001</v>
          </cell>
          <cell r="P241">
            <v>520555</v>
          </cell>
        </row>
        <row r="248">
          <cell r="M248">
            <v>513600</v>
          </cell>
          <cell r="N248">
            <v>513600</v>
          </cell>
          <cell r="P248">
            <v>524300</v>
          </cell>
        </row>
        <row r="256">
          <cell r="M256">
            <v>695499.99999999988</v>
          </cell>
          <cell r="N256">
            <v>759699.99999999988</v>
          </cell>
          <cell r="P256">
            <v>774680</v>
          </cell>
        </row>
        <row r="265">
          <cell r="M265">
            <v>1187700</v>
          </cell>
          <cell r="N265">
            <v>1337500</v>
          </cell>
          <cell r="P265">
            <v>1378160</v>
          </cell>
        </row>
        <row r="273">
          <cell r="M273">
            <v>961426.03</v>
          </cell>
          <cell r="N273">
            <v>1014926.03</v>
          </cell>
          <cell r="P273">
            <v>961426.03</v>
          </cell>
        </row>
        <row r="289">
          <cell r="M289">
            <v>553723.39500000002</v>
          </cell>
          <cell r="P289">
            <v>1125640</v>
          </cell>
        </row>
        <row r="297">
          <cell r="M297">
            <v>905752.86</v>
          </cell>
          <cell r="P297">
            <v>1088190</v>
          </cell>
        </row>
        <row r="305">
          <cell r="M305">
            <v>107000</v>
          </cell>
          <cell r="N305">
            <v>500520.32</v>
          </cell>
          <cell r="P305">
            <v>500520.32</v>
          </cell>
        </row>
        <row r="313">
          <cell r="M313">
            <v>1125993.1000000001</v>
          </cell>
          <cell r="P313">
            <v>1407478</v>
          </cell>
        </row>
        <row r="314">
          <cell r="N314">
            <v>3448720.21</v>
          </cell>
        </row>
        <row r="327">
          <cell r="M327">
            <v>236737.5</v>
          </cell>
          <cell r="N327">
            <v>236737.5</v>
          </cell>
          <cell r="P327">
            <v>258137.5</v>
          </cell>
        </row>
        <row r="335">
          <cell r="M335">
            <v>53500</v>
          </cell>
          <cell r="N335">
            <v>53500</v>
          </cell>
          <cell r="P335">
            <v>53500</v>
          </cell>
        </row>
        <row r="343">
          <cell r="M343">
            <v>26750</v>
          </cell>
          <cell r="N343">
            <v>29425</v>
          </cell>
          <cell r="P343">
            <v>30334.5</v>
          </cell>
        </row>
        <row r="351">
          <cell r="M351">
            <v>118368.75</v>
          </cell>
          <cell r="N351">
            <v>118368.75</v>
          </cell>
          <cell r="P351">
            <v>118368.75</v>
          </cell>
        </row>
        <row r="359">
          <cell r="M359">
            <v>128400</v>
          </cell>
          <cell r="N359">
            <v>128400</v>
          </cell>
          <cell r="P359">
            <v>128400</v>
          </cell>
        </row>
        <row r="367">
          <cell r="M367">
            <v>53500</v>
          </cell>
          <cell r="N367">
            <v>54837.5</v>
          </cell>
          <cell r="P367">
            <v>56335.5</v>
          </cell>
        </row>
        <row r="375">
          <cell r="M375">
            <v>227330.78990050001</v>
          </cell>
          <cell r="N375">
            <v>470172.15879105002</v>
          </cell>
          <cell r="P375">
            <v>470171.91000000003</v>
          </cell>
        </row>
        <row r="383">
          <cell r="M383">
            <v>118368.75</v>
          </cell>
          <cell r="N383">
            <v>118368.75</v>
          </cell>
          <cell r="P383">
            <v>118368.75</v>
          </cell>
        </row>
      </sheetData>
      <sheetData sheetId="2">
        <row r="7">
          <cell r="M7">
            <v>181993.60000000001</v>
          </cell>
          <cell r="N7">
            <v>181993.60000000001</v>
          </cell>
          <cell r="P7">
            <v>317115</v>
          </cell>
        </row>
        <row r="8">
          <cell r="M8">
            <v>20000</v>
          </cell>
          <cell r="N8">
            <v>20000</v>
          </cell>
          <cell r="P8">
            <v>20000</v>
          </cell>
        </row>
        <row r="9">
          <cell r="M9">
            <v>60000</v>
          </cell>
          <cell r="N9">
            <v>60000</v>
          </cell>
          <cell r="P9">
            <v>140000</v>
          </cell>
        </row>
        <row r="10">
          <cell r="M10">
            <v>12543</v>
          </cell>
          <cell r="N10">
            <v>12543</v>
          </cell>
          <cell r="P10">
            <v>12543</v>
          </cell>
        </row>
        <row r="11">
          <cell r="M11">
            <v>10342</v>
          </cell>
          <cell r="N11">
            <v>10342</v>
          </cell>
        </row>
        <row r="18">
          <cell r="M18">
            <v>0</v>
          </cell>
          <cell r="P18">
            <v>0</v>
          </cell>
        </row>
        <row r="19">
          <cell r="N19">
            <v>0</v>
          </cell>
        </row>
        <row r="23">
          <cell r="M23">
            <v>1065000.2999999998</v>
          </cell>
          <cell r="N23">
            <v>1065000.2999999998</v>
          </cell>
          <cell r="P23">
            <v>1065000.2999999998</v>
          </cell>
        </row>
        <row r="24">
          <cell r="M24">
            <v>205000</v>
          </cell>
          <cell r="N24">
            <v>205000</v>
          </cell>
          <cell r="P24">
            <v>220000</v>
          </cell>
        </row>
        <row r="25">
          <cell r="M25">
            <v>185000</v>
          </cell>
          <cell r="N25">
            <v>185000</v>
          </cell>
          <cell r="P25">
            <v>200000</v>
          </cell>
        </row>
        <row r="26">
          <cell r="M26">
            <v>40000</v>
          </cell>
          <cell r="N26">
            <v>40000</v>
          </cell>
          <cell r="P26">
            <v>40000</v>
          </cell>
        </row>
        <row r="27">
          <cell r="M27">
            <v>15000</v>
          </cell>
          <cell r="N27">
            <v>15000</v>
          </cell>
          <cell r="P27">
            <v>15000</v>
          </cell>
        </row>
        <row r="31">
          <cell r="N31">
            <v>3495968</v>
          </cell>
          <cell r="P31">
            <v>3515968</v>
          </cell>
        </row>
        <row r="32">
          <cell r="N32">
            <v>383738</v>
          </cell>
          <cell r="P32">
            <v>403738</v>
          </cell>
        </row>
        <row r="33">
          <cell r="N33">
            <v>342000</v>
          </cell>
          <cell r="P33">
            <v>357000</v>
          </cell>
        </row>
        <row r="34">
          <cell r="N34">
            <v>50000</v>
          </cell>
          <cell r="P34">
            <v>50000</v>
          </cell>
        </row>
        <row r="35">
          <cell r="N35">
            <v>163294</v>
          </cell>
          <cell r="P35">
            <v>163294</v>
          </cell>
        </row>
        <row r="43">
          <cell r="N43">
            <v>178134.5</v>
          </cell>
          <cell r="P43">
            <v>178134.5</v>
          </cell>
        </row>
        <row r="44">
          <cell r="N44">
            <v>38500</v>
          </cell>
          <cell r="P44">
            <v>38500</v>
          </cell>
        </row>
        <row r="45">
          <cell r="N45">
            <v>71000</v>
          </cell>
          <cell r="P45">
            <v>71000</v>
          </cell>
        </row>
        <row r="46">
          <cell r="N46">
            <v>2500</v>
          </cell>
          <cell r="P46">
            <v>2500</v>
          </cell>
        </row>
        <row r="47">
          <cell r="N47">
            <v>9865.5</v>
          </cell>
          <cell r="P47">
            <v>9865.5</v>
          </cell>
        </row>
        <row r="59">
          <cell r="N59">
            <v>88416</v>
          </cell>
          <cell r="P59">
            <v>201664</v>
          </cell>
        </row>
        <row r="60">
          <cell r="N60">
            <v>54510</v>
          </cell>
          <cell r="P60">
            <v>118500</v>
          </cell>
        </row>
        <row r="61">
          <cell r="N61">
            <v>100036</v>
          </cell>
          <cell r="P61">
            <v>217470</v>
          </cell>
        </row>
        <row r="62">
          <cell r="N62">
            <v>2500</v>
          </cell>
        </row>
        <row r="63">
          <cell r="N63">
            <v>4538</v>
          </cell>
        </row>
        <row r="67">
          <cell r="N67">
            <v>180714</v>
          </cell>
        </row>
        <row r="68">
          <cell r="N68">
            <v>0</v>
          </cell>
        </row>
        <row r="69">
          <cell r="N69">
            <v>0</v>
          </cell>
        </row>
        <row r="70">
          <cell r="N70">
            <v>6500</v>
          </cell>
        </row>
        <row r="71">
          <cell r="N71">
            <v>12786</v>
          </cell>
        </row>
        <row r="111">
          <cell r="N111">
            <v>393754</v>
          </cell>
          <cell r="P111">
            <v>403754</v>
          </cell>
        </row>
        <row r="112">
          <cell r="N112">
            <v>75000</v>
          </cell>
          <cell r="P112">
            <v>75000</v>
          </cell>
        </row>
        <row r="113">
          <cell r="N113">
            <v>10000</v>
          </cell>
          <cell r="P113">
            <v>10000</v>
          </cell>
        </row>
        <row r="115">
          <cell r="N115">
            <v>1246</v>
          </cell>
          <cell r="P115">
            <v>1246</v>
          </cell>
        </row>
        <row r="147">
          <cell r="M147">
            <v>0</v>
          </cell>
        </row>
      </sheetData>
      <sheetData sheetId="3">
        <row r="178">
          <cell r="M178">
            <v>5000</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plan"/>
      <sheetName val="Workings (2)"/>
      <sheetName val="Budget allocation to agencies "/>
      <sheetName val="Workings"/>
      <sheetName val="2011 Budget (4)"/>
      <sheetName val="2012 estimate"/>
      <sheetName val="2011 Budget"/>
      <sheetName val="ALLOCATION TO AGENCIES"/>
      <sheetName val="2013"/>
      <sheetName val="FAO Sec Exp "/>
      <sheetName val="UNDP Sec Exp "/>
      <sheetName val="UNEP Sec Exp "/>
      <sheetName val="Sheet1"/>
    </sheetNames>
    <sheetDataSet>
      <sheetData sheetId="0" refreshError="1"/>
      <sheetData sheetId="1" refreshError="1">
        <row r="71">
          <cell r="E71">
            <v>439717.78828149999</v>
          </cell>
          <cell r="F71">
            <v>557283.08128749998</v>
          </cell>
          <cell r="G71">
            <v>347152.4952755</v>
          </cell>
          <cell r="H71">
            <v>452152.4952755</v>
          </cell>
          <cell r="I71">
            <v>228913.23251500004</v>
          </cell>
          <cell r="J71">
            <v>218913.23251500001</v>
          </cell>
        </row>
        <row r="72">
          <cell r="E72">
            <v>26300</v>
          </cell>
          <cell r="F72">
            <v>27500</v>
          </cell>
          <cell r="G72">
            <v>25100</v>
          </cell>
          <cell r="H72">
            <v>25100</v>
          </cell>
          <cell r="I72">
            <v>23000</v>
          </cell>
          <cell r="J72">
            <v>63000</v>
          </cell>
        </row>
        <row r="73">
          <cell r="E73">
            <v>21000</v>
          </cell>
          <cell r="F73">
            <v>45000</v>
          </cell>
          <cell r="G73">
            <v>37000</v>
          </cell>
          <cell r="H73">
            <v>37000</v>
          </cell>
          <cell r="I73">
            <v>30000</v>
          </cell>
          <cell r="J73">
            <v>70000</v>
          </cell>
        </row>
        <row r="74">
          <cell r="E74">
            <v>385000</v>
          </cell>
          <cell r="F74">
            <v>29000</v>
          </cell>
          <cell r="G74">
            <v>29000</v>
          </cell>
          <cell r="H74">
            <v>29000</v>
          </cell>
          <cell r="I74">
            <v>29000</v>
          </cell>
          <cell r="J74">
            <v>20000</v>
          </cell>
        </row>
        <row r="75">
          <cell r="E75">
            <v>15750</v>
          </cell>
          <cell r="F75">
            <v>18750</v>
          </cell>
          <cell r="G75">
            <v>12750.000000000002</v>
          </cell>
          <cell r="H75">
            <v>12750.000000000002</v>
          </cell>
          <cell r="I75">
            <v>7500</v>
          </cell>
          <cell r="J75">
            <v>67500</v>
          </cell>
        </row>
        <row r="79">
          <cell r="J79">
            <v>470172.15879105008</v>
          </cell>
        </row>
      </sheetData>
      <sheetData sheetId="2" refreshError="1"/>
      <sheetData sheetId="3" refreshError="1">
        <row r="71">
          <cell r="E71">
            <v>202263.23251499998</v>
          </cell>
        </row>
        <row r="78">
          <cell r="J78">
            <v>227330.78990050001</v>
          </cell>
        </row>
      </sheetData>
      <sheetData sheetId="4" refreshError="1"/>
      <sheetData sheetId="5" refreshError="1">
        <row r="21">
          <cell r="G21">
            <v>319171.09340499999</v>
          </cell>
          <cell r="H21">
            <v>366238.13410000002</v>
          </cell>
          <cell r="I21">
            <v>1061512.1714999999</v>
          </cell>
          <cell r="K21">
            <v>673201.79615049995</v>
          </cell>
          <cell r="L21">
            <v>766532.08160999999</v>
          </cell>
          <cell r="M21">
            <v>2123507.7101500002</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2013 -2014 Budget"/>
      <sheetName val="Previous vs current submission"/>
      <sheetName val="Overview 2011-2014"/>
      <sheetName val="Summary by outcomes"/>
      <sheetName val=" overview 2012-2014"/>
      <sheetName val="Consl worksheet"/>
      <sheetName val="Category of support"/>
      <sheetName val="Consl work plan "/>
      <sheetName val="Category of support by outcome"/>
      <sheetName val="Budget Category BREAKDOWN"/>
      <sheetName val="FAO 2013-2014 "/>
      <sheetName val="UNDP 2013-2014 "/>
      <sheetName val="UNEP 2013-2014 "/>
      <sheetName val="Secretariat 2013-2014"/>
      <sheetName val="Overview"/>
      <sheetName val="Workplan"/>
      <sheetName val="Annex 1"/>
      <sheetName val="Consl worksheet (2)"/>
      <sheetName val="Sheet3"/>
      <sheetName val="Sheet1"/>
      <sheetName val="Sheet2"/>
      <sheetName val="Sheet4"/>
    </sheetNames>
    <sheetDataSet>
      <sheetData sheetId="0"/>
      <sheetData sheetId="1"/>
      <sheetData sheetId="2"/>
      <sheetData sheetId="3"/>
      <sheetData sheetId="4">
        <row r="10">
          <cell r="K10">
            <v>5342484.32</v>
          </cell>
          <cell r="P10">
            <v>5728754.3200000003</v>
          </cell>
        </row>
        <row r="11">
          <cell r="K11">
            <v>5977265.243999999</v>
          </cell>
          <cell r="P11">
            <v>6003815.1539999992</v>
          </cell>
        </row>
        <row r="13">
          <cell r="K13">
            <v>1620585.62</v>
          </cell>
          <cell r="P13">
            <v>1763965.62</v>
          </cell>
        </row>
        <row r="14">
          <cell r="K14">
            <v>4144885.3220000006</v>
          </cell>
          <cell r="P14">
            <v>4152666.3619999997</v>
          </cell>
        </row>
        <row r="15">
          <cell r="K15">
            <v>2543134.9120000005</v>
          </cell>
          <cell r="P15">
            <v>2887638.5320000001</v>
          </cell>
        </row>
      </sheetData>
      <sheetData sheetId="5">
        <row r="17">
          <cell r="F17">
            <v>2558943.1915099998</v>
          </cell>
        </row>
        <row r="363">
          <cell r="E363">
            <v>1108094.7161185713</v>
          </cell>
        </row>
        <row r="463">
          <cell r="E463">
            <v>2689643.8718814286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vious vs current submission"/>
      <sheetName val="Overview 2011-2014"/>
      <sheetName val="Consl work plan "/>
      <sheetName val="FAO"/>
      <sheetName val="UNDP"/>
      <sheetName val="UNEP"/>
      <sheetName val="Category of support"/>
      <sheetName val="Overview"/>
      <sheetName val="Workplan"/>
      <sheetName val="Annex 1"/>
      <sheetName val="Consl worksheet (2)"/>
      <sheetName val="Sheet3"/>
      <sheetName val="Sheet1"/>
      <sheetName val="Sheet2"/>
      <sheetName val="Private Sector"/>
      <sheetName val="Secretariat"/>
      <sheetName val="Summary 2013 -2014 Budget"/>
      <sheetName val="Sheet4"/>
      <sheetName val="Sheet5"/>
    </sheetNames>
    <sheetDataSet>
      <sheetData sheetId="0" refreshError="1"/>
      <sheetData sheetId="1" refreshError="1"/>
      <sheetData sheetId="2">
        <row r="33">
          <cell r="E33">
            <v>5877509.1251959996</v>
          </cell>
        </row>
        <row r="201">
          <cell r="E201">
            <v>3696850</v>
          </cell>
        </row>
        <row r="287">
          <cell r="E287">
            <v>3397971.5054940004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2013 -2014 Budget"/>
      <sheetName val="Previous vs current submission"/>
      <sheetName val="Overview 2011-2014"/>
      <sheetName val="Consl worksheet"/>
      <sheetName val="Category of support"/>
      <sheetName val="Category of support by outcome"/>
      <sheetName val="Budget Category BREAKDOWN"/>
      <sheetName val=" overview 2012-2014"/>
      <sheetName val="Summary by outcomes"/>
      <sheetName val="FAO 2013-2014 "/>
      <sheetName val="UNDP 2013-2014 "/>
      <sheetName val="UNEP 2013-2014 "/>
      <sheetName val="Secretariat 2013-2014"/>
      <sheetName val="Overview"/>
      <sheetName val="Workplan"/>
      <sheetName val="Annex 1"/>
      <sheetName val="Consl worksheet (2)"/>
      <sheetName val="Sheet3"/>
      <sheetName val="Sheet1"/>
      <sheetName val="Sheet2"/>
      <sheetName val="Sheet4"/>
    </sheetNames>
    <sheetDataSet>
      <sheetData sheetId="0">
        <row r="15">
          <cell r="D15">
            <v>1028833.5489757144</v>
          </cell>
        </row>
        <row r="16">
          <cell r="D16">
            <v>2587000.2940242859</v>
          </cell>
        </row>
      </sheetData>
      <sheetData sheetId="1"/>
      <sheetData sheetId="2"/>
      <sheetData sheetId="3"/>
      <sheetData sheetId="4"/>
      <sheetData sheetId="5">
        <row r="14">
          <cell r="B14">
            <v>0.32295421031653659</v>
          </cell>
          <cell r="C14">
            <v>4.1325507047269394E-2</v>
          </cell>
          <cell r="D14">
            <v>0.63572028263619396</v>
          </cell>
        </row>
      </sheetData>
      <sheetData sheetId="6"/>
      <sheetData sheetId="7"/>
      <sheetData sheetId="8"/>
      <sheetData sheetId="9">
        <row r="7">
          <cell r="O7">
            <v>1182929</v>
          </cell>
        </row>
      </sheetData>
      <sheetData sheetId="10">
        <row r="7">
          <cell r="Q7">
            <v>92000</v>
          </cell>
        </row>
      </sheetData>
      <sheetData sheetId="11">
        <row r="19">
          <cell r="O19">
            <v>75000</v>
          </cell>
        </row>
      </sheetData>
      <sheetData sheetId="12">
        <row r="141">
          <cell r="C141">
            <v>538108.70000000007</v>
          </cell>
        </row>
      </sheetData>
      <sheetData sheetId="13"/>
      <sheetData sheetId="14"/>
      <sheetData sheetId="15"/>
      <sheetData sheetId="16"/>
      <sheetData sheetId="17"/>
      <sheetData sheetId="18"/>
      <sheetData sheetId="19"/>
      <sheetData sheetId="2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vious vs current submission"/>
      <sheetName val="Overview 2011-2014"/>
      <sheetName val="Summary 2013 -2014 Budget"/>
      <sheetName val="Consl work plan "/>
      <sheetName val="Category of support by outcome"/>
      <sheetName val="FAO"/>
      <sheetName val="UNDP"/>
      <sheetName val="UNEP"/>
      <sheetName val="Category of support"/>
      <sheetName val="Overview"/>
      <sheetName val="Workplan"/>
      <sheetName val="Annex 1"/>
      <sheetName val="Consl worksheet (2)"/>
      <sheetName val="Sheet3"/>
      <sheetName val="Sheet1"/>
      <sheetName val="Sheet2"/>
      <sheetName val="Private Sector"/>
      <sheetName val="Secretariat"/>
      <sheetName val="Sheet4"/>
    </sheetNames>
    <sheetDataSet>
      <sheetData sheetId="0"/>
      <sheetData sheetId="1"/>
      <sheetData sheetId="2"/>
      <sheetData sheetId="3">
        <row r="15">
          <cell r="E15">
            <v>624726.66151000024</v>
          </cell>
        </row>
        <row r="17">
          <cell r="E17">
            <v>0.51</v>
          </cell>
        </row>
        <row r="18">
          <cell r="E18">
            <v>0.49</v>
          </cell>
        </row>
        <row r="28">
          <cell r="E28">
            <v>5437589.9600000009</v>
          </cell>
        </row>
        <row r="30">
          <cell r="E30">
            <v>0</v>
          </cell>
        </row>
        <row r="31">
          <cell r="E31">
            <v>1</v>
          </cell>
        </row>
        <row r="33">
          <cell r="E33">
            <v>6062316.6215100009</v>
          </cell>
        </row>
        <row r="41">
          <cell r="E41">
            <v>355726.85</v>
          </cell>
        </row>
        <row r="43">
          <cell r="E43">
            <v>1.1268893534463312E-2</v>
          </cell>
        </row>
        <row r="44">
          <cell r="E44">
            <v>0.98873110646553675</v>
          </cell>
        </row>
        <row r="52">
          <cell r="E52">
            <v>1029250.12</v>
          </cell>
        </row>
        <row r="54">
          <cell r="E54">
            <v>0</v>
          </cell>
        </row>
        <row r="55">
          <cell r="E55">
            <v>1</v>
          </cell>
        </row>
        <row r="65">
          <cell r="E65">
            <v>718139.76382999995</v>
          </cell>
        </row>
        <row r="67">
          <cell r="E67">
            <v>0.25194783656894282</v>
          </cell>
        </row>
        <row r="68">
          <cell r="E68">
            <v>0.74805216343105729</v>
          </cell>
        </row>
        <row r="76">
          <cell r="E76">
            <v>550000.32999999996</v>
          </cell>
        </row>
        <row r="78">
          <cell r="E78">
            <v>0.15</v>
          </cell>
        </row>
        <row r="79">
          <cell r="E79">
            <v>0.85</v>
          </cell>
        </row>
        <row r="88">
          <cell r="E88">
            <v>295747.30342999997</v>
          </cell>
        </row>
        <row r="90">
          <cell r="E90">
            <v>0.2</v>
          </cell>
        </row>
        <row r="91">
          <cell r="E91">
            <v>0.8</v>
          </cell>
        </row>
        <row r="98">
          <cell r="E98">
            <v>550000.32999999996</v>
          </cell>
        </row>
        <row r="100">
          <cell r="E100">
            <v>0.25</v>
          </cell>
        </row>
        <row r="101">
          <cell r="E101">
            <v>0.75</v>
          </cell>
        </row>
        <row r="112">
          <cell r="E112">
            <v>120974.47070999999</v>
          </cell>
        </row>
        <row r="114">
          <cell r="E114">
            <v>0</v>
          </cell>
        </row>
        <row r="115">
          <cell r="E115">
            <v>1</v>
          </cell>
        </row>
        <row r="121">
          <cell r="E121">
            <v>250000.15</v>
          </cell>
        </row>
        <row r="123">
          <cell r="E123">
            <v>0</v>
          </cell>
        </row>
        <row r="124">
          <cell r="E124">
            <v>1</v>
          </cell>
        </row>
        <row r="126">
          <cell r="E126">
            <v>3869839.3179700002</v>
          </cell>
        </row>
        <row r="143">
          <cell r="E143">
            <v>663400</v>
          </cell>
        </row>
        <row r="145">
          <cell r="E145">
            <v>0.5</v>
          </cell>
        </row>
        <row r="146">
          <cell r="E146">
            <v>0.5</v>
          </cell>
        </row>
        <row r="156">
          <cell r="E156">
            <v>732950</v>
          </cell>
        </row>
        <row r="158">
          <cell r="E158">
            <v>0.4</v>
          </cell>
        </row>
        <row r="159">
          <cell r="E159">
            <v>0.6</v>
          </cell>
        </row>
        <row r="170">
          <cell r="E170">
            <v>508250</v>
          </cell>
        </row>
        <row r="172">
          <cell r="E172">
            <v>0.4</v>
          </cell>
        </row>
        <row r="173">
          <cell r="E173">
            <v>0.6</v>
          </cell>
        </row>
        <row r="184">
          <cell r="E184">
            <v>1792250</v>
          </cell>
        </row>
        <row r="186">
          <cell r="E186">
            <v>0.17</v>
          </cell>
        </row>
        <row r="187">
          <cell r="E187">
            <v>0.83</v>
          </cell>
        </row>
        <row r="189">
          <cell r="E189">
            <v>3696850</v>
          </cell>
        </row>
        <row r="199">
          <cell r="E199">
            <v>1185721.57</v>
          </cell>
        </row>
        <row r="201">
          <cell r="E201">
            <v>0.23959476641721206</v>
          </cell>
        </row>
        <row r="202">
          <cell r="E202">
            <v>0.76027880676911352</v>
          </cell>
        </row>
        <row r="212">
          <cell r="E212">
            <v>744331.59</v>
          </cell>
        </row>
        <row r="214">
          <cell r="E214">
            <v>0.1215629703422906</v>
          </cell>
        </row>
        <row r="215">
          <cell r="E215">
            <v>0.87843702965770953</v>
          </cell>
        </row>
        <row r="217">
          <cell r="E217">
            <v>1930053.1600000001</v>
          </cell>
        </row>
        <row r="225">
          <cell r="E225">
            <v>710266</v>
          </cell>
        </row>
        <row r="227">
          <cell r="E227">
            <v>0.28000000000000003</v>
          </cell>
        </row>
        <row r="228">
          <cell r="E228">
            <v>0.72</v>
          </cell>
        </row>
        <row r="238">
          <cell r="E238">
            <v>1792250</v>
          </cell>
        </row>
        <row r="240">
          <cell r="E240">
            <v>0.576179104477612</v>
          </cell>
        </row>
        <row r="241">
          <cell r="E241">
            <v>0.42382089552238805</v>
          </cell>
        </row>
        <row r="243">
          <cell r="E243">
            <v>2502516</v>
          </cell>
        </row>
        <row r="255">
          <cell r="E255">
            <v>321000</v>
          </cell>
        </row>
        <row r="258">
          <cell r="E258">
            <v>0</v>
          </cell>
        </row>
        <row r="259">
          <cell r="E259">
            <v>1</v>
          </cell>
        </row>
        <row r="269">
          <cell r="E269">
            <v>1899971.5054940002</v>
          </cell>
        </row>
        <row r="271">
          <cell r="E271">
            <v>0.53957354201375274</v>
          </cell>
        </row>
        <row r="272">
          <cell r="E272">
            <v>0.46042645798624715</v>
          </cell>
        </row>
        <row r="273">
          <cell r="E273">
            <v>0</v>
          </cell>
        </row>
        <row r="279">
          <cell r="E279">
            <v>1177000</v>
          </cell>
        </row>
        <row r="281">
          <cell r="E281">
            <v>0.11</v>
          </cell>
        </row>
        <row r="282">
          <cell r="E282">
            <v>0.89</v>
          </cell>
        </row>
        <row r="283">
          <cell r="E283">
            <v>0</v>
          </cell>
        </row>
        <row r="284">
          <cell r="E284">
            <v>3397971.5054940004</v>
          </cell>
        </row>
        <row r="293">
          <cell r="E293">
            <v>660500.30000000005</v>
          </cell>
        </row>
        <row r="296">
          <cell r="E296">
            <v>0</v>
          </cell>
        </row>
        <row r="297">
          <cell r="E297">
            <v>1</v>
          </cell>
        </row>
        <row r="303">
          <cell r="E303">
            <v>267500</v>
          </cell>
        </row>
        <row r="306">
          <cell r="E306">
            <v>0</v>
          </cell>
        </row>
        <row r="307">
          <cell r="E307">
            <v>1</v>
          </cell>
        </row>
        <row r="315">
          <cell r="E315">
            <v>976363.23</v>
          </cell>
        </row>
        <row r="317">
          <cell r="E317">
            <v>0</v>
          </cell>
        </row>
        <row r="318">
          <cell r="E318">
            <v>0</v>
          </cell>
        </row>
        <row r="319">
          <cell r="E319">
            <v>1</v>
          </cell>
        </row>
        <row r="324">
          <cell r="E324">
            <v>78067.991799999989</v>
          </cell>
        </row>
        <row r="326">
          <cell r="E326">
            <v>0</v>
          </cell>
        </row>
        <row r="327">
          <cell r="E327">
            <v>0</v>
          </cell>
        </row>
        <row r="328">
          <cell r="E328">
            <v>1</v>
          </cell>
        </row>
        <row r="335">
          <cell r="E335">
            <v>1284000</v>
          </cell>
        </row>
        <row r="337">
          <cell r="E337">
            <v>0.1</v>
          </cell>
        </row>
        <row r="338">
          <cell r="E338">
            <v>0.9</v>
          </cell>
        </row>
        <row r="339">
          <cell r="E339">
            <v>0</v>
          </cell>
        </row>
        <row r="340">
          <cell r="E340">
            <v>3266431.5218000002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2013 -2014 Budget"/>
      <sheetName val="Previous vs current submission"/>
      <sheetName val="Overview 2011-2014"/>
      <sheetName val="Summary by outcomes"/>
      <sheetName val=" overview 2012-2014"/>
      <sheetName val="Consl worksheet"/>
      <sheetName val="Category of support"/>
      <sheetName val="Consl work plan "/>
      <sheetName val="Category of support by outcome"/>
      <sheetName val="Budget Category BREAKDOWN"/>
      <sheetName val="FAO 2013-2014 "/>
      <sheetName val="UNDP 2013-2014 "/>
      <sheetName val="UNEP 2013-2014 "/>
      <sheetName val="Secretariat 2013-2014"/>
      <sheetName val="Overview"/>
      <sheetName val="Workplan"/>
      <sheetName val="Annex 1"/>
      <sheetName val="Consl worksheet (2)"/>
      <sheetName val="Sheet3"/>
      <sheetName val="Sheet1"/>
      <sheetName val="Sheet2"/>
      <sheetName val="Sheet4"/>
    </sheetNames>
    <sheetDataSet>
      <sheetData sheetId="0"/>
      <sheetData sheetId="1"/>
      <sheetData sheetId="2"/>
      <sheetData sheetId="3"/>
      <sheetData sheetId="4"/>
      <sheetData sheetId="5">
        <row r="17">
          <cell r="F17">
            <v>2558943.1915099998</v>
          </cell>
        </row>
        <row r="19">
          <cell r="F19">
            <v>0.51</v>
          </cell>
        </row>
        <row r="20">
          <cell r="F20">
            <v>0.49</v>
          </cell>
        </row>
        <row r="31">
          <cell r="F31">
            <v>9232126.6799999997</v>
          </cell>
        </row>
        <row r="33">
          <cell r="F33">
            <v>0</v>
          </cell>
        </row>
        <row r="34">
          <cell r="F34">
            <v>1</v>
          </cell>
        </row>
        <row r="36">
          <cell r="F36">
            <v>11791069.871509999</v>
          </cell>
        </row>
        <row r="49">
          <cell r="F49">
            <v>1907842.1</v>
          </cell>
        </row>
        <row r="51">
          <cell r="F51">
            <v>1.1268893534463312E-2</v>
          </cell>
        </row>
        <row r="52">
          <cell r="F52">
            <v>0.98873110646553675</v>
          </cell>
        </row>
        <row r="60">
          <cell r="F60">
            <v>3212572.4940000004</v>
          </cell>
        </row>
        <row r="62">
          <cell r="F62">
            <v>0</v>
          </cell>
        </row>
        <row r="63">
          <cell r="F63">
            <v>1</v>
          </cell>
        </row>
        <row r="73">
          <cell r="F73">
            <v>1050218.5438300001</v>
          </cell>
        </row>
        <row r="75">
          <cell r="F75">
            <v>0.25194783656894282</v>
          </cell>
        </row>
        <row r="76">
          <cell r="F76">
            <v>0.74805216343105729</v>
          </cell>
        </row>
        <row r="85">
          <cell r="F85">
            <v>1024063.83</v>
          </cell>
        </row>
        <row r="87">
          <cell r="F87">
            <v>0.15</v>
          </cell>
        </row>
        <row r="88">
          <cell r="F88">
            <v>0.85</v>
          </cell>
        </row>
        <row r="98">
          <cell r="F98">
            <v>744119.03342999995</v>
          </cell>
        </row>
        <row r="100">
          <cell r="F100">
            <v>0.2</v>
          </cell>
        </row>
        <row r="101">
          <cell r="F101">
            <v>0.8</v>
          </cell>
        </row>
        <row r="110">
          <cell r="F110">
            <v>1034121.83</v>
          </cell>
        </row>
        <row r="112">
          <cell r="F112">
            <v>0.25</v>
          </cell>
        </row>
        <row r="113">
          <cell r="F113">
            <v>0.75</v>
          </cell>
        </row>
        <row r="123">
          <cell r="F123">
            <v>522316.49071000004</v>
          </cell>
        </row>
        <row r="125">
          <cell r="F125">
            <v>0</v>
          </cell>
        </row>
        <row r="126">
          <cell r="F126">
            <v>1</v>
          </cell>
        </row>
        <row r="135">
          <cell r="F135">
            <v>378400.15</v>
          </cell>
        </row>
        <row r="137">
          <cell r="F137">
            <v>0</v>
          </cell>
        </row>
        <row r="138">
          <cell r="F138">
            <v>1</v>
          </cell>
        </row>
        <row r="140">
          <cell r="F140">
            <v>9873654.4719699994</v>
          </cell>
        </row>
        <row r="157">
          <cell r="F157">
            <v>929295</v>
          </cell>
        </row>
        <row r="159">
          <cell r="F159">
            <v>0.5</v>
          </cell>
        </row>
        <row r="160">
          <cell r="F160">
            <v>0.5</v>
          </cell>
        </row>
        <row r="167">
          <cell r="F167">
            <v>293839.12</v>
          </cell>
        </row>
        <row r="169">
          <cell r="F169">
            <v>0.79275934395665226</v>
          </cell>
        </row>
        <row r="170">
          <cell r="F170">
            <v>0.20724065604334779</v>
          </cell>
        </row>
        <row r="180">
          <cell r="F180">
            <v>1430590</v>
          </cell>
        </row>
        <row r="182">
          <cell r="F182">
            <v>0.4</v>
          </cell>
        </row>
        <row r="183">
          <cell r="F183">
            <v>0.6</v>
          </cell>
        </row>
        <row r="194">
          <cell r="F194">
            <v>672441.5</v>
          </cell>
        </row>
        <row r="196">
          <cell r="F196">
            <v>0.4</v>
          </cell>
        </row>
        <row r="197">
          <cell r="F197">
            <v>0.6</v>
          </cell>
        </row>
        <row r="207">
          <cell r="F207">
            <v>2134650</v>
          </cell>
        </row>
        <row r="209">
          <cell r="F209">
            <v>0.17</v>
          </cell>
        </row>
        <row r="210">
          <cell r="F210">
            <v>0.83</v>
          </cell>
        </row>
        <row r="225">
          <cell r="F225">
            <v>5460815.6200000001</v>
          </cell>
        </row>
        <row r="237">
          <cell r="F237">
            <v>1363167.16</v>
          </cell>
        </row>
        <row r="239">
          <cell r="F239">
            <v>0.23684493103545717</v>
          </cell>
        </row>
        <row r="240">
          <cell r="F240">
            <v>0.76315506896454288</v>
          </cell>
        </row>
        <row r="251">
          <cell r="F251">
            <v>2680948.7719999999</v>
          </cell>
        </row>
        <row r="253">
          <cell r="F253">
            <v>0.23959476641721206</v>
          </cell>
        </row>
        <row r="254">
          <cell r="F254">
            <v>0.76027880676911352</v>
          </cell>
        </row>
        <row r="265">
          <cell r="F265">
            <v>2038603.59</v>
          </cell>
        </row>
        <row r="267">
          <cell r="F267">
            <v>0.1215629703422906</v>
          </cell>
        </row>
        <row r="268">
          <cell r="F268">
            <v>0.87843702965770953</v>
          </cell>
        </row>
        <row r="270">
          <cell r="F270">
            <v>6082719.5219999999</v>
          </cell>
        </row>
        <row r="283">
          <cell r="F283">
            <v>1049479.54</v>
          </cell>
        </row>
        <row r="285">
          <cell r="F285">
            <v>0.26</v>
          </cell>
        </row>
        <row r="286">
          <cell r="F286">
            <v>0.74</v>
          </cell>
        </row>
        <row r="297">
          <cell r="F297">
            <v>1483774.9920000001</v>
          </cell>
        </row>
        <row r="299">
          <cell r="F299">
            <v>0.28000000000000003</v>
          </cell>
        </row>
        <row r="300">
          <cell r="F300">
            <v>0.72</v>
          </cell>
        </row>
        <row r="311">
          <cell r="F311">
            <v>2856900</v>
          </cell>
        </row>
        <row r="313">
          <cell r="F313">
            <v>0.576179104477612</v>
          </cell>
        </row>
        <row r="314">
          <cell r="F314">
            <v>0.42382089552238805</v>
          </cell>
        </row>
        <row r="316">
          <cell r="F316">
            <v>5390154.5320000006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2010 budget"/>
      <sheetName val="2011 - 2012 Biennium "/>
      <sheetName val="Work Plan 2011 "/>
      <sheetName val="Annual Work Plan 2011"/>
      <sheetName val="Overview"/>
      <sheetName val="Consolidated workplan"/>
      <sheetName val="Work Plan 2012-2015 "/>
      <sheetName val="Work Plan 2012-2013"/>
      <sheetName val="UN-REDD 2010 WORKPLAN"/>
      <sheetName val="Sheet4"/>
    </sheetNames>
    <sheetDataSet>
      <sheetData sheetId="0" refreshError="1"/>
      <sheetData sheetId="1" refreshError="1"/>
      <sheetData sheetId="2" refreshError="1"/>
      <sheetData sheetId="3" refreshError="1"/>
      <sheetData sheetId="4">
        <row r="35">
          <cell r="I35">
            <v>17783400</v>
          </cell>
          <cell r="J35">
            <v>16389686.48</v>
          </cell>
          <cell r="K35">
            <v>12627070</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3:Z52"/>
  <sheetViews>
    <sheetView zoomScale="75" zoomScaleNormal="75" zoomScaleSheetLayoutView="75" workbookViewId="0">
      <selection activeCell="N34" sqref="N34"/>
    </sheetView>
  </sheetViews>
  <sheetFormatPr defaultRowHeight="15" x14ac:dyDescent="0.25"/>
  <cols>
    <col min="1" max="1" width="12.140625" style="350" customWidth="1"/>
    <col min="2" max="2" width="23.42578125" style="350" customWidth="1"/>
    <col min="3" max="3" width="13" style="350" customWidth="1"/>
    <col min="4" max="4" width="12.140625" style="350" customWidth="1"/>
    <col min="5" max="6" width="12.7109375" style="350" customWidth="1"/>
    <col min="7" max="7" width="13.28515625" style="350" customWidth="1"/>
    <col min="8" max="8" width="12" style="350" customWidth="1"/>
    <col min="9" max="10" width="12.42578125" style="350" customWidth="1"/>
    <col min="11" max="11" width="12" style="350" customWidth="1"/>
    <col min="12" max="12" width="12.42578125" style="350" customWidth="1"/>
    <col min="13" max="14" width="12.140625" style="350" customWidth="1"/>
    <col min="15" max="15" width="12.28515625" style="350" customWidth="1"/>
    <col min="16" max="16" width="11.42578125" style="261" customWidth="1"/>
    <col min="17" max="18" width="11.7109375" style="261" customWidth="1"/>
    <col min="19" max="20" width="12.7109375" style="261" customWidth="1"/>
    <col min="21" max="21" width="15.28515625" style="261" customWidth="1"/>
    <col min="22" max="23" width="11.42578125" style="261" customWidth="1"/>
    <col min="24" max="24" width="12.7109375" style="261" customWidth="1"/>
    <col min="25" max="25" width="12.85546875" style="352" customWidth="1"/>
    <col min="26" max="26" width="12.140625" style="261" customWidth="1"/>
    <col min="27" max="16384" width="9.140625" style="261"/>
  </cols>
  <sheetData>
    <row r="3" spans="1:26" s="257" customFormat="1" ht="23.25" customHeight="1" x14ac:dyDescent="0.35">
      <c r="A3" s="886" t="s">
        <v>344</v>
      </c>
      <c r="B3" s="887"/>
      <c r="C3" s="887"/>
      <c r="D3" s="887"/>
      <c r="E3" s="887"/>
      <c r="F3" s="887"/>
      <c r="G3" s="887"/>
      <c r="H3" s="887"/>
      <c r="I3" s="887"/>
      <c r="J3" s="887"/>
      <c r="K3" s="887"/>
      <c r="L3" s="887"/>
      <c r="M3" s="887"/>
      <c r="N3" s="887"/>
      <c r="O3" s="887"/>
      <c r="P3" s="887"/>
      <c r="Q3" s="887"/>
      <c r="R3" s="887"/>
      <c r="S3" s="887"/>
      <c r="T3" s="887"/>
      <c r="U3" s="887"/>
      <c r="V3" s="887"/>
      <c r="W3" s="887"/>
      <c r="X3" s="887"/>
      <c r="Y3" s="887"/>
    </row>
    <row r="4" spans="1:26" ht="28.5" customHeight="1" x14ac:dyDescent="0.25">
      <c r="A4" s="888"/>
      <c r="B4" s="889"/>
      <c r="C4" s="890" t="s">
        <v>100</v>
      </c>
      <c r="D4" s="891"/>
      <c r="E4" s="891"/>
      <c r="F4" s="891"/>
      <c r="G4" s="891"/>
      <c r="H4" s="891"/>
      <c r="I4" s="891"/>
      <c r="J4" s="892"/>
      <c r="K4" s="893" t="s">
        <v>50</v>
      </c>
      <c r="L4" s="894"/>
      <c r="M4" s="894"/>
      <c r="N4" s="894"/>
      <c r="O4" s="894"/>
      <c r="P4" s="894"/>
      <c r="Q4" s="894"/>
      <c r="R4" s="895"/>
      <c r="S4" s="896" t="s">
        <v>111</v>
      </c>
      <c r="T4" s="897"/>
      <c r="U4" s="897"/>
      <c r="V4" s="897"/>
      <c r="W4" s="897"/>
      <c r="X4" s="897"/>
      <c r="Y4" s="897"/>
      <c r="Z4" s="898"/>
    </row>
    <row r="5" spans="1:26" ht="28.5" customHeight="1" x14ac:dyDescent="0.25">
      <c r="A5" s="496"/>
      <c r="B5" s="497"/>
      <c r="C5" s="906">
        <v>2013</v>
      </c>
      <c r="D5" s="907"/>
      <c r="E5" s="907"/>
      <c r="F5" s="907"/>
      <c r="G5" s="908">
        <v>2014</v>
      </c>
      <c r="H5" s="891"/>
      <c r="I5" s="891"/>
      <c r="J5" s="892"/>
      <c r="K5" s="894">
        <v>2013</v>
      </c>
      <c r="L5" s="894"/>
      <c r="M5" s="894"/>
      <c r="N5" s="919"/>
      <c r="O5" s="903">
        <v>2014</v>
      </c>
      <c r="P5" s="894"/>
      <c r="Q5" s="894"/>
      <c r="R5" s="895"/>
      <c r="S5" s="897">
        <v>2013</v>
      </c>
      <c r="T5" s="897"/>
      <c r="U5" s="897"/>
      <c r="V5" s="904"/>
      <c r="W5" s="905">
        <v>2014</v>
      </c>
      <c r="X5" s="897"/>
      <c r="Y5" s="897"/>
      <c r="Z5" s="898"/>
    </row>
    <row r="6" spans="1:26" ht="42.75" customHeight="1" x14ac:dyDescent="0.25">
      <c r="A6" s="441" t="s">
        <v>261</v>
      </c>
      <c r="B6" s="442" t="s">
        <v>262</v>
      </c>
      <c r="C6" s="407" t="s">
        <v>298</v>
      </c>
      <c r="D6" s="408" t="s">
        <v>297</v>
      </c>
      <c r="E6" s="267" t="s">
        <v>309</v>
      </c>
      <c r="F6" s="267" t="s">
        <v>320</v>
      </c>
      <c r="G6" s="267" t="s">
        <v>299</v>
      </c>
      <c r="H6" s="267" t="s">
        <v>296</v>
      </c>
      <c r="I6" s="408" t="s">
        <v>309</v>
      </c>
      <c r="J6" s="268" t="s">
        <v>320</v>
      </c>
      <c r="K6" s="416" t="s">
        <v>298</v>
      </c>
      <c r="L6" s="417" t="s">
        <v>297</v>
      </c>
      <c r="M6" s="418" t="s">
        <v>309</v>
      </c>
      <c r="N6" s="418" t="s">
        <v>320</v>
      </c>
      <c r="O6" s="418" t="s">
        <v>299</v>
      </c>
      <c r="P6" s="418" t="s">
        <v>296</v>
      </c>
      <c r="Q6" s="417" t="s">
        <v>309</v>
      </c>
      <c r="R6" s="531" t="s">
        <v>320</v>
      </c>
      <c r="S6" s="429" t="s">
        <v>298</v>
      </c>
      <c r="T6" s="430" t="s">
        <v>297</v>
      </c>
      <c r="U6" s="431" t="s">
        <v>309</v>
      </c>
      <c r="V6" s="431" t="s">
        <v>320</v>
      </c>
      <c r="W6" s="431" t="s">
        <v>295</v>
      </c>
      <c r="X6" s="431" t="s">
        <v>296</v>
      </c>
      <c r="Y6" s="431" t="s">
        <v>309</v>
      </c>
      <c r="Z6" s="547" t="s">
        <v>320</v>
      </c>
    </row>
    <row r="7" spans="1:26" ht="81.75" customHeight="1" x14ac:dyDescent="0.25">
      <c r="A7" s="283" t="s">
        <v>266</v>
      </c>
      <c r="B7" s="284" t="s">
        <v>267</v>
      </c>
      <c r="C7" s="409">
        <f>'[2]Consl worksheet'!N14+'[2]Consl worksheet'!N22+'[2]Consl worksheet'!N30+'[2]Consl worksheet'!N46</f>
        <v>6665970.4229999995</v>
      </c>
      <c r="D7" s="410" t="e">
        <f>#REF!</f>
        <v>#REF!</v>
      </c>
      <c r="E7" s="411" t="e">
        <f>D7-C7</f>
        <v>#REF!</v>
      </c>
      <c r="F7" s="503" t="e">
        <f>E7/C7</f>
        <v>#REF!</v>
      </c>
      <c r="G7" s="322">
        <f>'[2]Consl worksheet'!P14+'[2]Consl worksheet'!P22+'[2]Consl worksheet'!P30+'[2]Consl worksheet'!P46</f>
        <v>6987100.3209999995</v>
      </c>
      <c r="H7" s="317" t="e">
        <f>#REF!</f>
        <v>#REF!</v>
      </c>
      <c r="I7" s="508" t="e">
        <f t="shared" ref="I7:I12" si="0">H7-G7</f>
        <v>#REF!</v>
      </c>
      <c r="J7" s="576" t="e">
        <f>I7/G7</f>
        <v>#REF!</v>
      </c>
      <c r="K7" s="516">
        <f>'[2]Consl worksheet'!N54</f>
        <v>171200</v>
      </c>
      <c r="L7" s="419" t="e">
        <f>#REF!</f>
        <v>#REF!</v>
      </c>
      <c r="M7" s="419" t="e">
        <f t="shared" ref="M7:M12" si="1">L7-K7</f>
        <v>#REF!</v>
      </c>
      <c r="N7" s="530" t="e">
        <f t="shared" ref="N7:N13" si="2">M7/K7</f>
        <v>#REF!</v>
      </c>
      <c r="O7" s="420">
        <f>'Consl worksheet (2)'!P54</f>
        <v>0</v>
      </c>
      <c r="P7" s="421" t="e">
        <f>#REF!</f>
        <v>#REF!</v>
      </c>
      <c r="Q7" s="517" t="e">
        <f t="shared" ref="Q7:Q12" si="3">P7-O7</f>
        <v>#REF!</v>
      </c>
      <c r="R7" s="532">
        <v>1</v>
      </c>
      <c r="S7" s="548">
        <f>'[2]Consl worksheet'!N38</f>
        <v>139100</v>
      </c>
      <c r="T7" s="432" t="e">
        <f>#REF!</f>
        <v>#REF!</v>
      </c>
      <c r="U7" s="433" t="e">
        <f t="shared" ref="U7:U12" si="4">T7-S7</f>
        <v>#REF!</v>
      </c>
      <c r="V7" s="542" t="e">
        <f>U7/S7</f>
        <v>#REF!</v>
      </c>
      <c r="W7" s="433">
        <f>'[2]Consl worksheet'!P38</f>
        <v>125832</v>
      </c>
      <c r="X7" s="433" t="e">
        <f>#REF!</f>
        <v>#REF!</v>
      </c>
      <c r="Y7" s="537" t="e">
        <f t="shared" ref="Y7:Y12" si="5">X7-W7</f>
        <v>#REF!</v>
      </c>
      <c r="Z7" s="549" t="e">
        <f>Y7/W7</f>
        <v>#REF!</v>
      </c>
    </row>
    <row r="8" spans="1:26" ht="82.5" customHeight="1" x14ac:dyDescent="0.25">
      <c r="A8" s="283" t="s">
        <v>268</v>
      </c>
      <c r="B8" s="297" t="s">
        <v>269</v>
      </c>
      <c r="C8" s="412">
        <f>'[2]Consl worksheet'!N73+'[2]Consl worksheet'!N89+'[2]Consl worksheet'!N105+'[2]Consl worksheet'!N113</f>
        <v>1107450</v>
      </c>
      <c r="D8" s="315" t="e">
        <f>#REF!</f>
        <v>#REF!</v>
      </c>
      <c r="E8" s="411" t="e">
        <f>D8-C8</f>
        <v>#REF!</v>
      </c>
      <c r="F8" s="502" t="e">
        <f>E8/C8</f>
        <v>#REF!</v>
      </c>
      <c r="G8" s="319">
        <f>'[2]Consl worksheet'!P113+'[2]Consl worksheet'!P105+'[2]Consl worksheet'!P89+'[2]Consl worksheet'!P73</f>
        <v>1428450</v>
      </c>
      <c r="H8" s="317" t="e">
        <f>#REF!</f>
        <v>#REF!</v>
      </c>
      <c r="I8" s="508" t="e">
        <f t="shared" si="0"/>
        <v>#REF!</v>
      </c>
      <c r="J8" s="577" t="e">
        <f>I8/G8</f>
        <v>#REF!</v>
      </c>
      <c r="K8" s="518">
        <f>'[2]Consl worksheet'!N97+'[2]Consl worksheet'!N81+'[2]Consl worksheet'!N65</f>
        <v>2336461.63</v>
      </c>
      <c r="L8" s="422" t="e">
        <f>#REF!</f>
        <v>#REF!</v>
      </c>
      <c r="M8" s="419" t="e">
        <f t="shared" si="1"/>
        <v>#REF!</v>
      </c>
      <c r="N8" s="530" t="e">
        <f t="shared" si="2"/>
        <v>#REF!</v>
      </c>
      <c r="O8" s="422">
        <f>'[2]Consl worksheet'!P65+'[2]Consl worksheet'!P81+'[2]Consl worksheet'!P97</f>
        <v>2486262.6999999997</v>
      </c>
      <c r="P8" s="421" t="e">
        <f>#REF!</f>
        <v>#REF!</v>
      </c>
      <c r="Q8" s="519" t="e">
        <f t="shared" si="3"/>
        <v>#REF!</v>
      </c>
      <c r="R8" s="533" t="e">
        <f t="shared" ref="R8:R13" si="6">Q8/O8</f>
        <v>#REF!</v>
      </c>
      <c r="S8" s="550">
        <v>0</v>
      </c>
      <c r="T8" s="435" t="e">
        <f>#REF!</f>
        <v>#REF!</v>
      </c>
      <c r="U8" s="433" t="e">
        <f t="shared" si="4"/>
        <v>#REF!</v>
      </c>
      <c r="V8" s="542"/>
      <c r="W8" s="434">
        <f>[2]Overview!$P$11</f>
        <v>0</v>
      </c>
      <c r="X8" s="433" t="e">
        <f>#REF!</f>
        <v>#REF!</v>
      </c>
      <c r="Y8" s="537" t="e">
        <f t="shared" si="5"/>
        <v>#REF!</v>
      </c>
      <c r="Z8" s="549">
        <v>1</v>
      </c>
    </row>
    <row r="9" spans="1:26" ht="120" customHeight="1" x14ac:dyDescent="0.25">
      <c r="A9" s="283" t="s">
        <v>270</v>
      </c>
      <c r="B9" s="284" t="s">
        <v>271</v>
      </c>
      <c r="C9" s="412">
        <f>'[2]Consl worksheet'!N141</f>
        <v>214000.535</v>
      </c>
      <c r="D9" s="315" t="e">
        <f>#REF!</f>
        <v>#REF!</v>
      </c>
      <c r="E9" s="411" t="e">
        <f>D9-C9</f>
        <v>#REF!</v>
      </c>
      <c r="F9" s="502" t="e">
        <f>E9/C9</f>
        <v>#REF!</v>
      </c>
      <c r="G9" s="319">
        <f>'[2]Consl worksheet'!P141</f>
        <v>214000.42799999999</v>
      </c>
      <c r="H9" s="317">
        <v>0</v>
      </c>
      <c r="I9" s="508">
        <f t="shared" si="0"/>
        <v>-214000.42799999999</v>
      </c>
      <c r="J9" s="577">
        <f>I9/G9</f>
        <v>-1</v>
      </c>
      <c r="K9" s="518">
        <f>'[2]Consl worksheet'!N125+'[2]Consl worksheet'!N133+'[2]Consl worksheet'!N152+'[2]Consl worksheet'!N160+'[2]Consl worksheet'!N168</f>
        <v>1829808.0700000003</v>
      </c>
      <c r="L9" s="422" t="e">
        <f>#REF!</f>
        <v>#REF!</v>
      </c>
      <c r="M9" s="419" t="e">
        <f t="shared" si="1"/>
        <v>#REF!</v>
      </c>
      <c r="N9" s="530" t="e">
        <f t="shared" si="2"/>
        <v>#REF!</v>
      </c>
      <c r="O9" s="422">
        <f>'[2]Consl worksheet'!P125+'[2]Consl worksheet'!P133+'[2]Consl worksheet'!P152+'[2]Consl worksheet'!P160+'[2]Consl worksheet'!P168</f>
        <v>1726204.2500000002</v>
      </c>
      <c r="P9" s="421" t="e">
        <f>#REF!</f>
        <v>#REF!</v>
      </c>
      <c r="Q9" s="519" t="e">
        <f t="shared" si="3"/>
        <v>#REF!</v>
      </c>
      <c r="R9" s="533" t="e">
        <f t="shared" si="6"/>
        <v>#REF!</v>
      </c>
      <c r="S9" s="550">
        <v>0</v>
      </c>
      <c r="T9" s="435" t="e">
        <f>#REF!</f>
        <v>#REF!</v>
      </c>
      <c r="U9" s="433" t="e">
        <f t="shared" si="4"/>
        <v>#REF!</v>
      </c>
      <c r="V9" s="542"/>
      <c r="W9" s="434">
        <v>0</v>
      </c>
      <c r="X9" s="433" t="e">
        <f>SUM(S9:W9)</f>
        <v>#REF!</v>
      </c>
      <c r="Y9" s="537" t="e">
        <f t="shared" si="5"/>
        <v>#REF!</v>
      </c>
      <c r="Z9" s="549"/>
    </row>
    <row r="10" spans="1:26" ht="102.75" customHeight="1" x14ac:dyDescent="0.25">
      <c r="A10" s="283" t="s">
        <v>272</v>
      </c>
      <c r="B10" s="303" t="s">
        <v>273</v>
      </c>
      <c r="C10" s="412">
        <v>0</v>
      </c>
      <c r="D10" s="315" t="e">
        <f>#REF!</f>
        <v>#REF!</v>
      </c>
      <c r="E10" s="411" t="e">
        <f>D10-C10</f>
        <v>#REF!</v>
      </c>
      <c r="F10" s="502"/>
      <c r="G10" s="319">
        <v>0</v>
      </c>
      <c r="H10" s="317">
        <v>0</v>
      </c>
      <c r="I10" s="508">
        <f t="shared" si="0"/>
        <v>0</v>
      </c>
      <c r="J10" s="577"/>
      <c r="K10" s="518">
        <f>'[2]Consl worksheet'!N181+'[2]Consl worksheet'!N188+'[2]Consl worksheet'!N196+'[2]Consl worksheet'!N204</f>
        <v>1866501.58</v>
      </c>
      <c r="L10" s="422" t="e">
        <f>#REF!</f>
        <v>#REF!</v>
      </c>
      <c r="M10" s="419" t="e">
        <f t="shared" si="1"/>
        <v>#REF!</v>
      </c>
      <c r="N10" s="530" t="e">
        <f t="shared" si="2"/>
        <v>#REF!</v>
      </c>
      <c r="O10" s="422">
        <f>'[2]Consl worksheet'!P181+'[2]Consl worksheet'!P188+'[2]Consl worksheet'!P196+'[2]Consl worksheet'!P204</f>
        <v>1778177.3599999999</v>
      </c>
      <c r="P10" s="421" t="e">
        <f>#REF!</f>
        <v>#REF!</v>
      </c>
      <c r="Q10" s="519" t="e">
        <f t="shared" si="3"/>
        <v>#REF!</v>
      </c>
      <c r="R10" s="533" t="e">
        <f t="shared" si="6"/>
        <v>#REF!</v>
      </c>
      <c r="S10" s="550">
        <f>'[2]Consl worksheet'!N212</f>
        <v>348820</v>
      </c>
      <c r="T10" s="435" t="e">
        <f>#REF!</f>
        <v>#REF!</v>
      </c>
      <c r="U10" s="433" t="e">
        <f t="shared" si="4"/>
        <v>#REF!</v>
      </c>
      <c r="V10" s="542" t="e">
        <f>U10/S10</f>
        <v>#REF!</v>
      </c>
      <c r="W10" s="434">
        <f>'[2]Consl worksheet'!P212</f>
        <v>289863</v>
      </c>
      <c r="X10" s="433" t="e">
        <f>#REF!</f>
        <v>#REF!</v>
      </c>
      <c r="Y10" s="537" t="e">
        <f t="shared" si="5"/>
        <v>#REF!</v>
      </c>
      <c r="Z10" s="549" t="e">
        <f>Y10/W10</f>
        <v>#REF!</v>
      </c>
    </row>
    <row r="11" spans="1:26" ht="76.5" customHeight="1" x14ac:dyDescent="0.25">
      <c r="A11" s="283" t="s">
        <v>274</v>
      </c>
      <c r="B11" s="303" t="s">
        <v>275</v>
      </c>
      <c r="C11" s="412">
        <f>'[2]Consl worksheet'!N248</f>
        <v>513600</v>
      </c>
      <c r="D11" s="315" t="e">
        <f>#REF!</f>
        <v>#REF!</v>
      </c>
      <c r="E11" s="411" t="e">
        <f>D11-C11</f>
        <v>#REF!</v>
      </c>
      <c r="F11" s="502" t="e">
        <f>E11/C11</f>
        <v>#REF!</v>
      </c>
      <c r="G11" s="319">
        <f>'[2]Consl worksheet'!P248</f>
        <v>524300</v>
      </c>
      <c r="H11" s="317" t="e">
        <f>#REF!</f>
        <v>#REF!</v>
      </c>
      <c r="I11" s="508" t="e">
        <f t="shared" si="0"/>
        <v>#REF!</v>
      </c>
      <c r="J11" s="577" t="e">
        <f>I11/G11</f>
        <v>#REF!</v>
      </c>
      <c r="K11" s="518">
        <f>'[2]Consl worksheet'!N233+'[2]Consl worksheet'!N273</f>
        <v>1457322.88</v>
      </c>
      <c r="L11" s="422" t="e">
        <f>#REF!</f>
        <v>#REF!</v>
      </c>
      <c r="M11" s="419" t="e">
        <f t="shared" si="1"/>
        <v>#REF!</v>
      </c>
      <c r="N11" s="530" t="e">
        <f t="shared" si="2"/>
        <v>#REF!</v>
      </c>
      <c r="O11" s="422">
        <f>'[2]Consl worksheet'!P233+'[2]Consl worksheet'!P273</f>
        <v>1393122.88</v>
      </c>
      <c r="P11" s="421" t="e">
        <f>#REF!</f>
        <v>#REF!</v>
      </c>
      <c r="Q11" s="519" t="e">
        <f t="shared" si="3"/>
        <v>#REF!</v>
      </c>
      <c r="R11" s="533" t="e">
        <f t="shared" si="6"/>
        <v>#REF!</v>
      </c>
      <c r="S11" s="550">
        <f>'[2]Consl worksheet'!N225+'[2]Consl worksheet'!N241+'[2]Consl worksheet'!N256+'[2]Consl worksheet'!N265</f>
        <v>2942499.99572</v>
      </c>
      <c r="T11" s="435" t="e">
        <f>#REF!</f>
        <v>#REF!</v>
      </c>
      <c r="U11" s="433" t="e">
        <f t="shared" si="4"/>
        <v>#REF!</v>
      </c>
      <c r="V11" s="542" t="e">
        <f>U11/S11</f>
        <v>#REF!</v>
      </c>
      <c r="W11" s="434">
        <f>'[2]Consl worksheet'!P225+'[2]Consl worksheet'!P241+'[2]Consl worksheet'!P256+'[2]Consl worksheet'!P265</f>
        <v>2930302</v>
      </c>
      <c r="X11" s="433" t="e">
        <f>#REF!</f>
        <v>#REF!</v>
      </c>
      <c r="Y11" s="537" t="e">
        <f t="shared" si="5"/>
        <v>#REF!</v>
      </c>
      <c r="Z11" s="549" t="e">
        <f>Y11/W11</f>
        <v>#REF!</v>
      </c>
    </row>
    <row r="12" spans="1:26" ht="100.5" customHeight="1" x14ac:dyDescent="0.25">
      <c r="A12" s="283" t="s">
        <v>276</v>
      </c>
      <c r="B12" s="303" t="s">
        <v>277</v>
      </c>
      <c r="C12" s="319">
        <v>0</v>
      </c>
      <c r="D12" s="315" t="e">
        <f>#REF!</f>
        <v>#REF!</v>
      </c>
      <c r="E12" s="411" t="e">
        <f>C12-D12</f>
        <v>#REF!</v>
      </c>
      <c r="F12" s="498"/>
      <c r="G12" s="319">
        <v>0</v>
      </c>
      <c r="H12" s="317" t="e">
        <f>#REF!</f>
        <v>#REF!</v>
      </c>
      <c r="I12" s="508" t="e">
        <f t="shared" si="0"/>
        <v>#REF!</v>
      </c>
      <c r="J12" s="510"/>
      <c r="K12" s="518">
        <f>'[2]Consl worksheet'!N305</f>
        <v>500520.32</v>
      </c>
      <c r="L12" s="422" t="e">
        <f>#REF!</f>
        <v>#REF!</v>
      </c>
      <c r="M12" s="419" t="e">
        <f t="shared" si="1"/>
        <v>#REF!</v>
      </c>
      <c r="N12" s="530" t="e">
        <f t="shared" si="2"/>
        <v>#REF!</v>
      </c>
      <c r="O12" s="422">
        <f>'[2]Consl worksheet'!P305</f>
        <v>500520.32</v>
      </c>
      <c r="P12" s="421" t="e">
        <f>#REF!</f>
        <v>#REF!</v>
      </c>
      <c r="Q12" s="519" t="e">
        <f t="shared" si="3"/>
        <v>#REF!</v>
      </c>
      <c r="R12" s="533" t="e">
        <f t="shared" si="6"/>
        <v>#REF!</v>
      </c>
      <c r="S12" s="550">
        <f>'[2]Consl worksheet'!N314-'[2]Consl worksheet'!N305</f>
        <v>2948199.89</v>
      </c>
      <c r="T12" s="435" t="e">
        <f>#REF!</f>
        <v>#REF!</v>
      </c>
      <c r="U12" s="433" t="e">
        <f t="shared" si="4"/>
        <v>#REF!</v>
      </c>
      <c r="V12" s="542" t="e">
        <f>U12/S12</f>
        <v>#REF!</v>
      </c>
      <c r="W12" s="434">
        <f>'[2]Consl worksheet'!P289+'[2]Consl worksheet'!P297+'[2]Consl worksheet'!P313</f>
        <v>3621308</v>
      </c>
      <c r="X12" s="433" t="e">
        <f>#REF!</f>
        <v>#REF!</v>
      </c>
      <c r="Y12" s="537" t="e">
        <f t="shared" si="5"/>
        <v>#REF!</v>
      </c>
      <c r="Z12" s="549" t="e">
        <f>Y12/W12</f>
        <v>#REF!</v>
      </c>
    </row>
    <row r="13" spans="1:26" ht="45" customHeight="1" x14ac:dyDescent="0.25">
      <c r="A13" s="913" t="s">
        <v>47</v>
      </c>
      <c r="B13" s="914"/>
      <c r="C13" s="472">
        <f t="shared" ref="C13:K13" si="7">SUM(C7:C12)</f>
        <v>8501020.9580000006</v>
      </c>
      <c r="D13" s="473" t="e">
        <f t="shared" si="7"/>
        <v>#REF!</v>
      </c>
      <c r="E13" s="473" t="e">
        <f t="shared" si="7"/>
        <v>#REF!</v>
      </c>
      <c r="F13" s="504" t="e">
        <f>E13/C13</f>
        <v>#REF!</v>
      </c>
      <c r="G13" s="473">
        <f t="shared" si="7"/>
        <v>9153850.748999998</v>
      </c>
      <c r="H13" s="473" t="e">
        <f t="shared" si="7"/>
        <v>#REF!</v>
      </c>
      <c r="I13" s="473" t="e">
        <f t="shared" si="7"/>
        <v>#REF!</v>
      </c>
      <c r="J13" s="511" t="e">
        <f>I13/G13</f>
        <v>#REF!</v>
      </c>
      <c r="K13" s="520">
        <f t="shared" si="7"/>
        <v>8161814.4800000004</v>
      </c>
      <c r="L13" s="423" t="e">
        <f t="shared" ref="L13:Q13" si="8">SUM(L7:L12)</f>
        <v>#REF!</v>
      </c>
      <c r="M13" s="423" t="e">
        <f t="shared" si="8"/>
        <v>#REF!</v>
      </c>
      <c r="N13" s="527" t="e">
        <f t="shared" si="2"/>
        <v>#REF!</v>
      </c>
      <c r="O13" s="423">
        <f t="shared" si="8"/>
        <v>7884287.5100000007</v>
      </c>
      <c r="P13" s="423" t="e">
        <f t="shared" si="8"/>
        <v>#REF!</v>
      </c>
      <c r="Q13" s="423" t="e">
        <f t="shared" si="8"/>
        <v>#REF!</v>
      </c>
      <c r="R13" s="534" t="e">
        <f t="shared" si="6"/>
        <v>#REF!</v>
      </c>
      <c r="S13" s="551">
        <f>SUM(S7:S12)</f>
        <v>6378619.8857199997</v>
      </c>
      <c r="T13" s="436" t="e">
        <f>SUM(T7:T12)</f>
        <v>#REF!</v>
      </c>
      <c r="U13" s="436" t="e">
        <f>SUM(U7:U12)</f>
        <v>#REF!</v>
      </c>
      <c r="V13" s="474" t="e">
        <f>U13/S13</f>
        <v>#REF!</v>
      </c>
      <c r="W13" s="436">
        <f>SUM(W7:W12)</f>
        <v>6967305</v>
      </c>
      <c r="X13" s="436" t="e">
        <f>SUM(X7:X12)</f>
        <v>#REF!</v>
      </c>
      <c r="Y13" s="538" t="e">
        <f>SUM(Y7:Y12)</f>
        <v>#REF!</v>
      </c>
      <c r="Z13" s="549" t="e">
        <f>Y13/W13</f>
        <v>#REF!</v>
      </c>
    </row>
    <row r="14" spans="1:26" ht="33.75" customHeight="1" x14ac:dyDescent="0.25">
      <c r="A14" s="915" t="s">
        <v>342</v>
      </c>
      <c r="B14" s="916"/>
      <c r="C14" s="314"/>
      <c r="D14" s="315"/>
      <c r="E14" s="316"/>
      <c r="F14" s="499"/>
      <c r="G14" s="316"/>
      <c r="H14" s="317"/>
      <c r="I14" s="509"/>
      <c r="J14" s="512"/>
      <c r="K14" s="518"/>
      <c r="L14" s="422"/>
      <c r="M14" s="424"/>
      <c r="N14" s="528"/>
      <c r="O14" s="424"/>
      <c r="P14" s="421"/>
      <c r="Q14" s="521"/>
      <c r="R14" s="533"/>
      <c r="S14" s="552"/>
      <c r="T14" s="435"/>
      <c r="U14" s="434"/>
      <c r="V14" s="543"/>
      <c r="W14" s="434"/>
      <c r="X14" s="433"/>
      <c r="Y14" s="539"/>
      <c r="Z14" s="549"/>
    </row>
    <row r="15" spans="1:26" ht="112.5" customHeight="1" x14ac:dyDescent="0.25">
      <c r="A15" s="283" t="s">
        <v>300</v>
      </c>
      <c r="B15" s="324" t="s">
        <v>278</v>
      </c>
      <c r="C15" s="319">
        <f>'[2]Consl worksheet'!N327+'[2]Consl worksheet'!N351+'[2]Consl worksheet'!N383</f>
        <v>473475</v>
      </c>
      <c r="D15" s="315" t="e">
        <f>#REF!</f>
        <v>#REF!</v>
      </c>
      <c r="E15" s="319" t="e">
        <f>D15-C15</f>
        <v>#REF!</v>
      </c>
      <c r="F15" s="506" t="e">
        <f>E15/C15</f>
        <v>#REF!</v>
      </c>
      <c r="G15" s="319">
        <f>'[2]Consl worksheet'!P327+'[2]Consl worksheet'!P351+'[2]Consl worksheet'!P383</f>
        <v>494875</v>
      </c>
      <c r="H15" s="410" t="e">
        <f>#REF!</f>
        <v>#REF!</v>
      </c>
      <c r="I15" s="508" t="e">
        <f>H15-G15</f>
        <v>#REF!</v>
      </c>
      <c r="J15" s="512" t="e">
        <f>I15/G15</f>
        <v>#REF!</v>
      </c>
      <c r="K15" s="518">
        <f>'[2]Consl worksheet'!N335+'[2]Consl worksheet'!N359</f>
        <v>181900</v>
      </c>
      <c r="L15" s="422" t="e">
        <f>#REF!</f>
        <v>#REF!</v>
      </c>
      <c r="M15" s="422" t="e">
        <f>L15-K15</f>
        <v>#REF!</v>
      </c>
      <c r="N15" s="529" t="e">
        <f>M15/K15</f>
        <v>#REF!</v>
      </c>
      <c r="O15" s="422">
        <f>'[2]Consl worksheet'!P335+'[2]Consl worksheet'!P359</f>
        <v>181900</v>
      </c>
      <c r="P15" s="422" t="e">
        <f>#REF!</f>
        <v>#REF!</v>
      </c>
      <c r="Q15" s="519" t="e">
        <f>P15-O15</f>
        <v>#REF!</v>
      </c>
      <c r="R15" s="533" t="e">
        <f>Q15/O15</f>
        <v>#REF!</v>
      </c>
      <c r="S15" s="552">
        <f>[2]Overview!$J$19</f>
        <v>554434.65879105008</v>
      </c>
      <c r="T15" s="435" t="e">
        <f>#REF!</f>
        <v>#REF!</v>
      </c>
      <c r="U15" s="435" t="e">
        <f>T15-S15</f>
        <v>#REF!</v>
      </c>
      <c r="V15" s="544" t="e">
        <f>U15/S15</f>
        <v>#REF!</v>
      </c>
      <c r="W15" s="435">
        <f>[2]Overview!$P$19</f>
        <v>556841.91</v>
      </c>
      <c r="X15" s="435" t="e">
        <f>#REF!</f>
        <v>#REF!</v>
      </c>
      <c r="Y15" s="540" t="e">
        <f>X15-W15</f>
        <v>#REF!</v>
      </c>
      <c r="Z15" s="549" t="e">
        <f>Y15/W15</f>
        <v>#REF!</v>
      </c>
    </row>
    <row r="16" spans="1:26" ht="75" customHeight="1" x14ac:dyDescent="0.25">
      <c r="A16" s="326" t="s">
        <v>279</v>
      </c>
      <c r="B16" s="327" t="s">
        <v>280</v>
      </c>
      <c r="C16" s="413">
        <f>'[3]2012 estimate'!$K$21</f>
        <v>673201.79615049995</v>
      </c>
      <c r="D16" s="414" t="e">
        <f>#REF!</f>
        <v>#REF!</v>
      </c>
      <c r="E16" s="319" t="e">
        <f>D16-C16</f>
        <v>#REF!</v>
      </c>
      <c r="F16" s="506" t="e">
        <f>E16/C16</f>
        <v>#REF!</v>
      </c>
      <c r="G16" s="413">
        <v>673202</v>
      </c>
      <c r="H16" s="410" t="e">
        <f>#REF!</f>
        <v>#REF!</v>
      </c>
      <c r="I16" s="508" t="e">
        <f>H16-G16</f>
        <v>#REF!</v>
      </c>
      <c r="J16" s="512" t="e">
        <f>I16/G16</f>
        <v>#REF!</v>
      </c>
      <c r="K16" s="522">
        <f>'[3]2012 estimate'!$L$21</f>
        <v>766532.08160999999</v>
      </c>
      <c r="L16" s="425" t="e">
        <f>#REF!</f>
        <v>#REF!</v>
      </c>
      <c r="M16" s="422" t="e">
        <f>L16-K16</f>
        <v>#REF!</v>
      </c>
      <c r="N16" s="529" t="e">
        <f>M16/K16</f>
        <v>#REF!</v>
      </c>
      <c r="O16" s="425">
        <v>766532</v>
      </c>
      <c r="P16" s="422" t="e">
        <f>#REF!</f>
        <v>#REF!</v>
      </c>
      <c r="Q16" s="519" t="e">
        <f>P16-O16</f>
        <v>#REF!</v>
      </c>
      <c r="R16" s="533" t="e">
        <f>Q16/O16</f>
        <v>#REF!</v>
      </c>
      <c r="S16" s="553">
        <f>'[3]2012 estimate'!$M$21-'[3]Workings (2)'!$J$79</f>
        <v>1653335.5513589501</v>
      </c>
      <c r="T16" s="437" t="e">
        <f>#REF!</f>
        <v>#REF!</v>
      </c>
      <c r="U16" s="435" t="e">
        <f>T16-S16</f>
        <v>#REF!</v>
      </c>
      <c r="V16" s="544" t="e">
        <f>U16/S16</f>
        <v>#REF!</v>
      </c>
      <c r="W16" s="437">
        <v>1653336</v>
      </c>
      <c r="X16" s="435" t="e">
        <f>#REF!</f>
        <v>#REF!</v>
      </c>
      <c r="Y16" s="540" t="e">
        <f>X16-W16</f>
        <v>#REF!</v>
      </c>
      <c r="Z16" s="549" t="e">
        <f>Y16/W16</f>
        <v>#REF!</v>
      </c>
    </row>
    <row r="17" spans="1:26" ht="109.5" hidden="1" customHeight="1" x14ac:dyDescent="0.25">
      <c r="A17" s="326"/>
      <c r="B17" s="406"/>
      <c r="C17" s="415"/>
      <c r="D17" s="414">
        <v>0</v>
      </c>
      <c r="E17" s="319">
        <f>D17-C17</f>
        <v>0</v>
      </c>
      <c r="F17" s="500"/>
      <c r="G17" s="414">
        <v>0</v>
      </c>
      <c r="H17" s="410">
        <v>0</v>
      </c>
      <c r="I17" s="508">
        <f>H17-G17</f>
        <v>0</v>
      </c>
      <c r="J17" s="512"/>
      <c r="K17" s="522"/>
      <c r="L17" s="425">
        <v>0</v>
      </c>
      <c r="M17" s="422">
        <v>0</v>
      </c>
      <c r="N17" s="524"/>
      <c r="O17" s="425">
        <v>0</v>
      </c>
      <c r="P17" s="422">
        <v>0</v>
      </c>
      <c r="Q17" s="519">
        <f>P17-O17</f>
        <v>0</v>
      </c>
      <c r="R17" s="533"/>
      <c r="S17" s="553">
        <v>0</v>
      </c>
      <c r="T17" s="437">
        <v>0</v>
      </c>
      <c r="U17" s="435">
        <f>T17-S17</f>
        <v>0</v>
      </c>
      <c r="V17" s="544"/>
      <c r="W17" s="437">
        <v>0</v>
      </c>
      <c r="X17" s="435">
        <v>0</v>
      </c>
      <c r="Y17" s="540">
        <f>X17-W17</f>
        <v>0</v>
      </c>
      <c r="Z17" s="549"/>
    </row>
    <row r="18" spans="1:26" s="337" customFormat="1" ht="22.5" customHeight="1" x14ac:dyDescent="0.25">
      <c r="A18" s="917" t="s">
        <v>103</v>
      </c>
      <c r="B18" s="918"/>
      <c r="C18" s="415">
        <f>SUM(C15:C17)</f>
        <v>1146676.7961505</v>
      </c>
      <c r="D18" s="415" t="e">
        <f t="shared" ref="D18:I18" si="9">SUM(D15:D17)</f>
        <v>#REF!</v>
      </c>
      <c r="E18" s="415" t="e">
        <f t="shared" si="9"/>
        <v>#REF!</v>
      </c>
      <c r="F18" s="501"/>
      <c r="G18" s="415">
        <f t="shared" si="9"/>
        <v>1168077</v>
      </c>
      <c r="H18" s="415" t="e">
        <f t="shared" si="9"/>
        <v>#REF!</v>
      </c>
      <c r="I18" s="415" t="e">
        <f t="shared" si="9"/>
        <v>#REF!</v>
      </c>
      <c r="J18" s="513"/>
      <c r="K18" s="471">
        <f>SUM(K15:K17)</f>
        <v>948432.08160999999</v>
      </c>
      <c r="L18" s="426" t="e">
        <f t="shared" ref="L18:Q18" si="10">SUM(L15:L17)</f>
        <v>#REF!</v>
      </c>
      <c r="M18" s="426" t="e">
        <f t="shared" si="10"/>
        <v>#REF!</v>
      </c>
      <c r="N18" s="525"/>
      <c r="O18" s="426">
        <f t="shared" si="10"/>
        <v>948432</v>
      </c>
      <c r="P18" s="426" t="e">
        <f t="shared" si="10"/>
        <v>#REF!</v>
      </c>
      <c r="Q18" s="426" t="e">
        <f t="shared" si="10"/>
        <v>#REF!</v>
      </c>
      <c r="R18" s="535"/>
      <c r="S18" s="554">
        <f>SUM(S15:S17)</f>
        <v>2207770.2101500002</v>
      </c>
      <c r="T18" s="438" t="e">
        <f t="shared" ref="T18:Y18" si="11">SUM(T15:T17)</f>
        <v>#REF!</v>
      </c>
      <c r="U18" s="438" t="e">
        <f t="shared" si="11"/>
        <v>#REF!</v>
      </c>
      <c r="V18" s="545"/>
      <c r="W18" s="438">
        <f t="shared" si="11"/>
        <v>2210177.91</v>
      </c>
      <c r="X18" s="438" t="e">
        <f t="shared" si="11"/>
        <v>#REF!</v>
      </c>
      <c r="Y18" s="438" t="e">
        <f t="shared" si="11"/>
        <v>#REF!</v>
      </c>
      <c r="Z18" s="549"/>
    </row>
    <row r="19" spans="1:26" ht="33.75" customHeight="1" thickBot="1" x14ac:dyDescent="0.3">
      <c r="A19" s="444" t="s">
        <v>104</v>
      </c>
      <c r="B19" s="445"/>
      <c r="C19" s="446">
        <f>C13+C18</f>
        <v>9647697.7541505005</v>
      </c>
      <c r="D19" s="443" t="e">
        <f>D13+D18</f>
        <v>#REF!</v>
      </c>
      <c r="E19" s="443" t="e">
        <f>E13+E18</f>
        <v>#REF!</v>
      </c>
      <c r="F19" s="505" t="e">
        <f>E19/C19</f>
        <v>#REF!</v>
      </c>
      <c r="G19" s="443">
        <f>G13+G18</f>
        <v>10321927.748999998</v>
      </c>
      <c r="H19" s="443" t="e">
        <f>H13+H18</f>
        <v>#REF!</v>
      </c>
      <c r="I19" s="443" t="e">
        <f>I13+I18</f>
        <v>#REF!</v>
      </c>
      <c r="J19" s="514" t="e">
        <f>I19/G19</f>
        <v>#REF!</v>
      </c>
      <c r="K19" s="523">
        <f>K18+K13</f>
        <v>9110246.5616100002</v>
      </c>
      <c r="L19" s="427" t="e">
        <f>L18+L13</f>
        <v>#REF!</v>
      </c>
      <c r="M19" s="427" t="e">
        <f>M18+M13</f>
        <v>#REF!</v>
      </c>
      <c r="N19" s="526" t="e">
        <f>M19/K19</f>
        <v>#REF!</v>
      </c>
      <c r="O19" s="427">
        <f>O18+O13</f>
        <v>8832719.5100000016</v>
      </c>
      <c r="P19" s="427" t="e">
        <f>P18+P13</f>
        <v>#REF!</v>
      </c>
      <c r="Q19" s="427" t="e">
        <f>Q18+Q13</f>
        <v>#REF!</v>
      </c>
      <c r="R19" s="536" t="e">
        <f>Q19/O19</f>
        <v>#REF!</v>
      </c>
      <c r="S19" s="447">
        <f>S13+S18</f>
        <v>8586390.0958699994</v>
      </c>
      <c r="T19" s="439" t="e">
        <f>T13+T18</f>
        <v>#REF!</v>
      </c>
      <c r="U19" s="439" t="e">
        <f>U13+U18</f>
        <v>#REF!</v>
      </c>
      <c r="V19" s="546" t="e">
        <f>U19/S19</f>
        <v>#REF!</v>
      </c>
      <c r="W19" s="439">
        <f>W13+W18</f>
        <v>9177482.9100000001</v>
      </c>
      <c r="X19" s="439" t="e">
        <f>X13+X18</f>
        <v>#REF!</v>
      </c>
      <c r="Y19" s="541" t="e">
        <f>Y13+Y18</f>
        <v>#REF!</v>
      </c>
      <c r="Z19" s="555" t="e">
        <f>Y19/W19</f>
        <v>#REF!</v>
      </c>
    </row>
    <row r="20" spans="1:26" ht="15.75" thickTop="1" x14ac:dyDescent="0.25">
      <c r="A20" s="345"/>
      <c r="B20" s="345"/>
      <c r="C20" s="345"/>
      <c r="D20" s="345"/>
      <c r="E20" s="345"/>
      <c r="F20" s="345"/>
      <c r="G20" s="345"/>
      <c r="H20" s="345"/>
      <c r="I20" s="345"/>
      <c r="J20" s="345"/>
      <c r="K20" s="345"/>
      <c r="L20" s="345"/>
      <c r="M20" s="345"/>
      <c r="N20" s="345"/>
      <c r="O20" s="345"/>
      <c r="P20" s="346"/>
      <c r="Q20" s="346"/>
      <c r="R20" s="346"/>
      <c r="S20" s="346"/>
      <c r="T20" s="346"/>
      <c r="U20" s="346"/>
      <c r="V20" s="346"/>
      <c r="W20" s="346"/>
      <c r="X20" s="346"/>
      <c r="Y20" s="347"/>
    </row>
    <row r="21" spans="1:26" x14ac:dyDescent="0.25">
      <c r="A21" s="345"/>
      <c r="B21" s="469" t="s">
        <v>258</v>
      </c>
      <c r="C21" s="345"/>
      <c r="D21" s="345"/>
      <c r="E21" s="345"/>
      <c r="F21" s="345"/>
      <c r="G21" s="348"/>
      <c r="H21" s="345"/>
      <c r="I21" s="345"/>
      <c r="J21" s="345"/>
      <c r="K21" s="345"/>
      <c r="L21" s="345"/>
      <c r="M21" s="345"/>
      <c r="N21" s="345"/>
      <c r="O21" s="345"/>
      <c r="P21" s="346"/>
      <c r="Q21" s="346"/>
      <c r="R21" s="346"/>
      <c r="S21" s="346"/>
      <c r="T21" s="346"/>
      <c r="U21" s="346"/>
      <c r="V21" s="346"/>
      <c r="W21" s="346"/>
      <c r="X21" s="346"/>
      <c r="Y21" s="347"/>
    </row>
    <row r="22" spans="1:26" x14ac:dyDescent="0.25">
      <c r="A22" s="345"/>
      <c r="B22" s="902" t="s">
        <v>303</v>
      </c>
      <c r="C22" s="901" t="s">
        <v>100</v>
      </c>
      <c r="D22" s="901"/>
      <c r="E22" s="899"/>
      <c r="F22" s="909" t="s">
        <v>50</v>
      </c>
      <c r="G22" s="910"/>
      <c r="H22" s="911"/>
      <c r="I22" s="912" t="s">
        <v>111</v>
      </c>
      <c r="J22" s="901"/>
      <c r="K22" s="899"/>
      <c r="L22" s="571"/>
      <c r="M22" s="261"/>
      <c r="N22" s="261"/>
      <c r="O22" s="345"/>
      <c r="P22" s="346"/>
      <c r="Q22" s="346"/>
      <c r="R22" s="346"/>
      <c r="S22" s="346"/>
      <c r="T22" s="346"/>
      <c r="U22" s="346"/>
      <c r="V22" s="346"/>
      <c r="W22" s="346"/>
      <c r="X22" s="346"/>
      <c r="Y22" s="347"/>
    </row>
    <row r="23" spans="1:26" ht="39.75" customHeight="1" x14ac:dyDescent="0.25">
      <c r="A23" s="345"/>
      <c r="B23" s="902"/>
      <c r="C23" s="450" t="s">
        <v>301</v>
      </c>
      <c r="D23" s="450" t="s">
        <v>302</v>
      </c>
      <c r="E23" s="461" t="s">
        <v>305</v>
      </c>
      <c r="F23" s="460" t="s">
        <v>301</v>
      </c>
      <c r="G23" s="450" t="s">
        <v>302</v>
      </c>
      <c r="H23" s="461" t="s">
        <v>306</v>
      </c>
      <c r="I23" s="460" t="s">
        <v>301</v>
      </c>
      <c r="J23" s="450" t="s">
        <v>302</v>
      </c>
      <c r="K23" s="461" t="s">
        <v>307</v>
      </c>
      <c r="L23" s="572"/>
      <c r="M23" s="261"/>
      <c r="N23" s="261"/>
      <c r="O23" s="345"/>
      <c r="P23" s="346"/>
      <c r="Q23" s="346"/>
      <c r="R23" s="346"/>
      <c r="S23" s="346"/>
      <c r="T23" s="346"/>
      <c r="U23" s="346"/>
      <c r="V23" s="346"/>
      <c r="W23" s="346"/>
      <c r="X23" s="346"/>
      <c r="Y23" s="347"/>
    </row>
    <row r="24" spans="1:26" ht="20.25" customHeight="1" x14ac:dyDescent="0.25">
      <c r="B24" s="679" t="s">
        <v>266</v>
      </c>
      <c r="C24" s="449"/>
      <c r="D24" s="449" t="e">
        <f>D7-C7</f>
        <v>#REF!</v>
      </c>
      <c r="E24" s="456" t="e">
        <f>SUM(C24:D24)</f>
        <v>#REF!</v>
      </c>
      <c r="F24" s="455"/>
      <c r="G24" s="449" t="e">
        <f t="shared" ref="G24:G29" si="12">L7-K7</f>
        <v>#REF!</v>
      </c>
      <c r="H24" s="456" t="e">
        <f>SUM(F24:G24)</f>
        <v>#REF!</v>
      </c>
      <c r="I24" s="455"/>
      <c r="J24" s="449" t="e">
        <f>T7-S7</f>
        <v>#REF!</v>
      </c>
      <c r="K24" s="456" t="e">
        <f>SUM(I24:J24)</f>
        <v>#REF!</v>
      </c>
      <c r="L24" s="573"/>
      <c r="M24" s="261"/>
      <c r="N24" s="261"/>
      <c r="X24" s="351"/>
    </row>
    <row r="25" spans="1:26" ht="32.25" customHeight="1" x14ac:dyDescent="0.25">
      <c r="B25" s="679" t="s">
        <v>268</v>
      </c>
      <c r="C25" s="449" t="e">
        <f>D8-C8</f>
        <v>#REF!</v>
      </c>
      <c r="D25" s="448"/>
      <c r="E25" s="456" t="e">
        <f t="shared" ref="E25:E32" si="13">SUM(C25:D25)</f>
        <v>#REF!</v>
      </c>
      <c r="F25" s="449" t="e">
        <f>L8-K8</f>
        <v>#REF!</v>
      </c>
      <c r="H25" s="456" t="e">
        <f>SUM(F25:F25)</f>
        <v>#REF!</v>
      </c>
      <c r="I25" s="455" t="e">
        <f>T8-S8</f>
        <v>#REF!</v>
      </c>
      <c r="J25" s="448"/>
      <c r="K25" s="456" t="e">
        <f t="shared" ref="K25:K32" si="14">SUM(I25:J25)</f>
        <v>#REF!</v>
      </c>
      <c r="L25" s="573"/>
      <c r="M25" s="261"/>
      <c r="N25" s="261"/>
    </row>
    <row r="26" spans="1:26" ht="27" customHeight="1" x14ac:dyDescent="0.25">
      <c r="B26" s="679" t="s">
        <v>270</v>
      </c>
      <c r="C26" s="448"/>
      <c r="D26" s="449" t="e">
        <f>D9-C9</f>
        <v>#REF!</v>
      </c>
      <c r="E26" s="456" t="e">
        <f t="shared" si="13"/>
        <v>#REF!</v>
      </c>
      <c r="F26" s="457"/>
      <c r="G26" s="449" t="e">
        <f t="shared" si="12"/>
        <v>#REF!</v>
      </c>
      <c r="H26" s="456" t="e">
        <f t="shared" ref="H26:H32" si="15">SUM(F26:G26)</f>
        <v>#REF!</v>
      </c>
      <c r="I26" s="457"/>
      <c r="J26" s="448"/>
      <c r="K26" s="456">
        <f t="shared" si="14"/>
        <v>0</v>
      </c>
      <c r="L26" s="573"/>
      <c r="M26" s="261"/>
      <c r="N26" s="261"/>
    </row>
    <row r="27" spans="1:26" ht="37.5" customHeight="1" x14ac:dyDescent="0.25">
      <c r="B27" s="679" t="s">
        <v>272</v>
      </c>
      <c r="C27" s="256">
        <v>0</v>
      </c>
      <c r="D27" s="256">
        <v>0</v>
      </c>
      <c r="E27" s="456">
        <f t="shared" si="13"/>
        <v>0</v>
      </c>
      <c r="F27" s="457"/>
      <c r="G27" s="449" t="e">
        <f t="shared" si="12"/>
        <v>#REF!</v>
      </c>
      <c r="H27" s="456" t="e">
        <f t="shared" si="15"/>
        <v>#REF!</v>
      </c>
      <c r="I27" s="455" t="e">
        <f>T10-S10</f>
        <v>#REF!</v>
      </c>
      <c r="J27" s="449"/>
      <c r="K27" s="456" t="e">
        <f t="shared" si="14"/>
        <v>#REF!</v>
      </c>
      <c r="L27" s="573"/>
      <c r="M27" s="261"/>
      <c r="N27" s="261"/>
    </row>
    <row r="28" spans="1:26" ht="22.5" customHeight="1" x14ac:dyDescent="0.25">
      <c r="B28" s="679" t="s">
        <v>274</v>
      </c>
      <c r="C28" s="256"/>
      <c r="D28" s="449" t="e">
        <f>D11-C11</f>
        <v>#REF!</v>
      </c>
      <c r="E28" s="456" t="e">
        <f t="shared" si="13"/>
        <v>#REF!</v>
      </c>
      <c r="F28" s="457"/>
      <c r="G28" s="449" t="e">
        <f t="shared" si="12"/>
        <v>#REF!</v>
      </c>
      <c r="H28" s="456" t="e">
        <f t="shared" si="15"/>
        <v>#REF!</v>
      </c>
      <c r="I28" s="457"/>
      <c r="J28" s="449" t="e">
        <f>T11-S11</f>
        <v>#REF!</v>
      </c>
      <c r="K28" s="456" t="e">
        <f t="shared" si="14"/>
        <v>#REF!</v>
      </c>
      <c r="L28" s="573"/>
      <c r="M28" s="261"/>
      <c r="N28" s="261"/>
    </row>
    <row r="29" spans="1:26" ht="39.75" customHeight="1" x14ac:dyDescent="0.25">
      <c r="B29" s="679" t="s">
        <v>276</v>
      </c>
      <c r="C29" s="256">
        <v>0</v>
      </c>
      <c r="D29" s="256">
        <v>0</v>
      </c>
      <c r="E29" s="456">
        <f t="shared" si="13"/>
        <v>0</v>
      </c>
      <c r="F29" s="457"/>
      <c r="G29" s="449" t="e">
        <f t="shared" si="12"/>
        <v>#REF!</v>
      </c>
      <c r="H29" s="456" t="e">
        <f t="shared" si="15"/>
        <v>#REF!</v>
      </c>
      <c r="I29" s="455" t="e">
        <f>T12-S12</f>
        <v>#REF!</v>
      </c>
      <c r="J29" s="448"/>
      <c r="K29" s="456" t="e">
        <f t="shared" si="14"/>
        <v>#REF!</v>
      </c>
      <c r="L29" s="573"/>
      <c r="M29" s="261"/>
      <c r="N29" s="261"/>
    </row>
    <row r="30" spans="1:26" ht="30" customHeight="1" x14ac:dyDescent="0.25">
      <c r="B30" s="462" t="s">
        <v>308</v>
      </c>
      <c r="C30" s="466" t="e">
        <f t="shared" ref="C30:K30" si="16">SUM(C24:C29)</f>
        <v>#REF!</v>
      </c>
      <c r="D30" s="466" t="e">
        <f t="shared" si="16"/>
        <v>#REF!</v>
      </c>
      <c r="E30" s="570" t="e">
        <f t="shared" si="16"/>
        <v>#REF!</v>
      </c>
      <c r="F30" s="464" t="e">
        <f t="shared" si="16"/>
        <v>#REF!</v>
      </c>
      <c r="G30" s="466" t="e">
        <f t="shared" si="16"/>
        <v>#REF!</v>
      </c>
      <c r="H30" s="570" t="e">
        <f t="shared" si="16"/>
        <v>#REF!</v>
      </c>
      <c r="I30" s="583" t="e">
        <f t="shared" si="16"/>
        <v>#REF!</v>
      </c>
      <c r="J30" s="466" t="e">
        <f t="shared" si="16"/>
        <v>#REF!</v>
      </c>
      <c r="K30" s="570" t="e">
        <f t="shared" si="16"/>
        <v>#REF!</v>
      </c>
      <c r="L30" s="574"/>
      <c r="M30" s="261"/>
      <c r="N30" s="261"/>
    </row>
    <row r="31" spans="1:26" ht="60" x14ac:dyDescent="0.25">
      <c r="B31" s="679" t="s">
        <v>343</v>
      </c>
      <c r="C31" s="449"/>
      <c r="D31" s="449" t="e">
        <f>D15-C15</f>
        <v>#REF!</v>
      </c>
      <c r="E31" s="456" t="e">
        <f t="shared" si="13"/>
        <v>#REF!</v>
      </c>
      <c r="F31" s="455" t="e">
        <f>L15-K15</f>
        <v>#REF!</v>
      </c>
      <c r="G31" s="448"/>
      <c r="H31" s="456" t="e">
        <f t="shared" si="15"/>
        <v>#REF!</v>
      </c>
      <c r="J31" s="449" t="e">
        <f>T15-S15</f>
        <v>#REF!</v>
      </c>
      <c r="K31" s="456" t="e">
        <f>SUM(J31:J31)</f>
        <v>#REF!</v>
      </c>
      <c r="L31" s="573"/>
      <c r="M31" s="261"/>
      <c r="N31" s="261"/>
    </row>
    <row r="32" spans="1:26" ht="21.75" customHeight="1" x14ac:dyDescent="0.25">
      <c r="B32" s="680" t="s">
        <v>279</v>
      </c>
      <c r="C32" s="448"/>
      <c r="D32" s="449" t="e">
        <f>D16-C16</f>
        <v>#REF!</v>
      </c>
      <c r="E32" s="456" t="e">
        <f t="shared" si="13"/>
        <v>#REF!</v>
      </c>
      <c r="F32" s="455" t="e">
        <f>L16-K16</f>
        <v>#REF!</v>
      </c>
      <c r="G32" s="448"/>
      <c r="H32" s="456" t="e">
        <f t="shared" si="15"/>
        <v>#REF!</v>
      </c>
      <c r="I32" s="458">
        <v>0</v>
      </c>
      <c r="J32" s="451" t="e">
        <f>T16-S16</f>
        <v>#REF!</v>
      </c>
      <c r="K32" s="456" t="e">
        <f t="shared" si="14"/>
        <v>#REF!</v>
      </c>
      <c r="L32" s="573"/>
      <c r="M32" s="261"/>
      <c r="N32" s="261"/>
    </row>
    <row r="33" spans="2:14" ht="27.75" customHeight="1" x14ac:dyDescent="0.25">
      <c r="B33" s="463" t="s">
        <v>319</v>
      </c>
      <c r="C33" s="468">
        <f t="shared" ref="C33:K33" si="17">SUM(C31:C32)</f>
        <v>0</v>
      </c>
      <c r="D33" s="468" t="e">
        <f t="shared" si="17"/>
        <v>#REF!</v>
      </c>
      <c r="E33" s="579" t="e">
        <f t="shared" si="17"/>
        <v>#REF!</v>
      </c>
      <c r="F33" s="467" t="e">
        <f t="shared" si="17"/>
        <v>#REF!</v>
      </c>
      <c r="G33" s="468">
        <f t="shared" si="17"/>
        <v>0</v>
      </c>
      <c r="H33" s="557" t="e">
        <f t="shared" si="17"/>
        <v>#REF!</v>
      </c>
      <c r="I33" s="584">
        <f t="shared" si="17"/>
        <v>0</v>
      </c>
      <c r="J33" s="468" t="e">
        <f t="shared" si="17"/>
        <v>#REF!</v>
      </c>
      <c r="K33" s="579" t="e">
        <f t="shared" si="17"/>
        <v>#REF!</v>
      </c>
      <c r="L33" s="575"/>
      <c r="M33" s="261"/>
      <c r="N33" s="261"/>
    </row>
    <row r="34" spans="2:14" ht="37.5" customHeight="1" thickBot="1" x14ac:dyDescent="0.3">
      <c r="B34" s="558" t="s">
        <v>304</v>
      </c>
      <c r="C34" s="428" t="e">
        <f t="shared" ref="C34:K34" si="18">C33+C30</f>
        <v>#REF!</v>
      </c>
      <c r="D34" s="428" t="e">
        <f t="shared" si="18"/>
        <v>#REF!</v>
      </c>
      <c r="E34" s="580" t="e">
        <f t="shared" si="18"/>
        <v>#REF!</v>
      </c>
      <c r="F34" s="581" t="e">
        <f t="shared" si="18"/>
        <v>#REF!</v>
      </c>
      <c r="G34" s="428" t="e">
        <f t="shared" si="18"/>
        <v>#REF!</v>
      </c>
      <c r="H34" s="582" t="e">
        <f t="shared" si="18"/>
        <v>#REF!</v>
      </c>
      <c r="I34" s="585" t="e">
        <f t="shared" si="18"/>
        <v>#REF!</v>
      </c>
      <c r="J34" s="428" t="e">
        <f t="shared" si="18"/>
        <v>#REF!</v>
      </c>
      <c r="K34" s="580" t="e">
        <f t="shared" si="18"/>
        <v>#REF!</v>
      </c>
      <c r="L34" s="574"/>
      <c r="M34" s="261"/>
      <c r="N34" s="261"/>
    </row>
    <row r="35" spans="2:14" ht="15.75" thickTop="1" x14ac:dyDescent="0.25">
      <c r="E35" s="470"/>
      <c r="F35" s="470"/>
      <c r="I35" s="470"/>
      <c r="J35" s="470"/>
      <c r="M35" s="470"/>
      <c r="N35" s="470"/>
    </row>
    <row r="37" spans="2:14" x14ac:dyDescent="0.25">
      <c r="B37" s="469" t="s">
        <v>259</v>
      </c>
    </row>
    <row r="38" spans="2:14" x14ac:dyDescent="0.25">
      <c r="B38" s="899" t="s">
        <v>303</v>
      </c>
      <c r="C38" s="900" t="s">
        <v>100</v>
      </c>
      <c r="D38" s="901"/>
      <c r="E38" s="902"/>
      <c r="F38" s="654" t="s">
        <v>50</v>
      </c>
      <c r="G38" s="653"/>
      <c r="H38" s="652"/>
      <c r="I38" s="507" t="s">
        <v>111</v>
      </c>
      <c r="J38" s="507"/>
      <c r="K38" s="556"/>
      <c r="L38" s="261"/>
      <c r="M38" s="261"/>
      <c r="N38" s="572"/>
    </row>
    <row r="39" spans="2:14" ht="30" customHeight="1" x14ac:dyDescent="0.25">
      <c r="B39" s="899"/>
      <c r="C39" s="452" t="s">
        <v>301</v>
      </c>
      <c r="D39" s="450" t="s">
        <v>302</v>
      </c>
      <c r="E39" s="656" t="s">
        <v>305</v>
      </c>
      <c r="F39" s="460" t="s">
        <v>301</v>
      </c>
      <c r="G39" s="450" t="s">
        <v>302</v>
      </c>
      <c r="H39" s="461" t="s">
        <v>306</v>
      </c>
      <c r="I39" s="452" t="s">
        <v>301</v>
      </c>
      <c r="J39" s="450" t="s">
        <v>302</v>
      </c>
      <c r="K39" s="461" t="s">
        <v>307</v>
      </c>
      <c r="L39" s="261"/>
      <c r="M39" s="261"/>
      <c r="N39" s="572"/>
    </row>
    <row r="40" spans="2:14" ht="20.25" customHeight="1" x14ac:dyDescent="0.25">
      <c r="B40" s="677" t="s">
        <v>266</v>
      </c>
      <c r="C40" s="453"/>
      <c r="D40" s="449" t="e">
        <f>H7-G7</f>
        <v>#REF!</v>
      </c>
      <c r="E40" s="657" t="e">
        <f>SUM(C40:D40)</f>
        <v>#REF!</v>
      </c>
      <c r="F40" s="455" t="e">
        <f>P7-O7</f>
        <v>#REF!</v>
      </c>
      <c r="G40" s="449">
        <v>0</v>
      </c>
      <c r="H40" s="456" t="e">
        <f>SUM(F40:G40)</f>
        <v>#REF!</v>
      </c>
      <c r="I40" s="453"/>
      <c r="J40" s="449" t="e">
        <f>X7-W7</f>
        <v>#REF!</v>
      </c>
      <c r="K40" s="456" t="e">
        <f>SUM(I40:J40)</f>
        <v>#REF!</v>
      </c>
      <c r="L40" s="261"/>
      <c r="M40" s="261"/>
      <c r="N40" s="573"/>
    </row>
    <row r="41" spans="2:14" ht="42.75" customHeight="1" x14ac:dyDescent="0.25">
      <c r="B41" s="677" t="s">
        <v>268</v>
      </c>
      <c r="C41" s="449" t="e">
        <f>H8-G8</f>
        <v>#REF!</v>
      </c>
      <c r="E41" s="657" t="e">
        <f>SUM(C41:C41)</f>
        <v>#REF!</v>
      </c>
      <c r="F41" s="455" t="e">
        <f>P8-O8</f>
        <v>#REF!</v>
      </c>
      <c r="G41" s="662"/>
      <c r="H41" s="456" t="e">
        <f>SUM(F41:F41)</f>
        <v>#REF!</v>
      </c>
      <c r="I41" s="453" t="e">
        <f>X8-W8</f>
        <v>#REF!</v>
      </c>
      <c r="J41" s="448"/>
      <c r="K41" s="456" t="e">
        <f>SUM(I41:J41)</f>
        <v>#REF!</v>
      </c>
      <c r="L41" s="261"/>
      <c r="M41" s="261"/>
      <c r="N41" s="573"/>
    </row>
    <row r="42" spans="2:14" ht="21" customHeight="1" x14ac:dyDescent="0.25">
      <c r="B42" s="677" t="s">
        <v>270</v>
      </c>
      <c r="C42" s="454"/>
      <c r="D42" s="449">
        <f>H9-G9</f>
        <v>-214000.42799999999</v>
      </c>
      <c r="E42" s="657">
        <f>SUM(C42:D42)</f>
        <v>-214000.42799999999</v>
      </c>
      <c r="F42" s="457"/>
      <c r="G42" s="449" t="e">
        <f>P9-O9</f>
        <v>#REF!</v>
      </c>
      <c r="H42" s="456" t="e">
        <f>SUM(F42:G42)</f>
        <v>#REF!</v>
      </c>
      <c r="I42" s="454"/>
      <c r="J42" s="448"/>
      <c r="K42" s="456">
        <f>SUM(I42:J42)</f>
        <v>0</v>
      </c>
      <c r="L42" s="261"/>
      <c r="M42" s="261"/>
      <c r="N42" s="573"/>
    </row>
    <row r="43" spans="2:14" ht="45.75" customHeight="1" x14ac:dyDescent="0.25">
      <c r="B43" s="677" t="s">
        <v>272</v>
      </c>
      <c r="C43" s="459"/>
      <c r="D43" s="256">
        <v>0</v>
      </c>
      <c r="E43" s="657">
        <f>SUM(C43:D43)</f>
        <v>0</v>
      </c>
      <c r="F43" s="457"/>
      <c r="G43" s="449" t="e">
        <f>P10-O10</f>
        <v>#REF!</v>
      </c>
      <c r="H43" s="456" t="e">
        <f>SUM(F43:G43)</f>
        <v>#REF!</v>
      </c>
      <c r="I43" s="453" t="e">
        <f>X10-W10</f>
        <v>#REF!</v>
      </c>
      <c r="K43" s="456" t="e">
        <f>SUM(I43:I43)</f>
        <v>#REF!</v>
      </c>
      <c r="L43" s="261"/>
      <c r="M43" s="261"/>
      <c r="N43" s="573"/>
    </row>
    <row r="44" spans="2:14" ht="24" customHeight="1" x14ac:dyDescent="0.25">
      <c r="B44" s="677" t="s">
        <v>274</v>
      </c>
      <c r="C44" s="459"/>
      <c r="D44" s="449" t="e">
        <f>H11-G11</f>
        <v>#REF!</v>
      </c>
      <c r="E44" s="657" t="e">
        <f>SUM(C44:D44)</f>
        <v>#REF!</v>
      </c>
      <c r="F44" s="457"/>
      <c r="G44" s="449" t="e">
        <f>P11-O11</f>
        <v>#REF!</v>
      </c>
      <c r="H44" s="456" t="e">
        <f>SUM(F44:G44)</f>
        <v>#REF!</v>
      </c>
      <c r="I44" s="453"/>
      <c r="J44" s="449" t="e">
        <f>X11-W11</f>
        <v>#REF!</v>
      </c>
      <c r="K44" s="456" t="e">
        <f>SUM(I44:J44)</f>
        <v>#REF!</v>
      </c>
      <c r="L44" s="261"/>
      <c r="M44" s="261"/>
      <c r="N44" s="573"/>
    </row>
    <row r="45" spans="2:14" ht="36.75" customHeight="1" x14ac:dyDescent="0.25">
      <c r="B45" s="677" t="s">
        <v>276</v>
      </c>
      <c r="C45" s="459"/>
      <c r="D45" s="256">
        <v>0</v>
      </c>
      <c r="E45" s="657">
        <f>SUM(C45:D45)</f>
        <v>0</v>
      </c>
      <c r="F45" s="457"/>
      <c r="G45" s="449" t="e">
        <f>P12-O12</f>
        <v>#REF!</v>
      </c>
      <c r="H45" s="456" t="e">
        <f>SUM(F45:G45)</f>
        <v>#REF!</v>
      </c>
      <c r="I45" s="453"/>
      <c r="J45" s="449" t="e">
        <f>X12-W12</f>
        <v>#REF!</v>
      </c>
      <c r="K45" s="456" t="e">
        <f>SUM(I45:J45)</f>
        <v>#REF!</v>
      </c>
      <c r="L45" s="261"/>
      <c r="M45" s="261"/>
      <c r="N45" s="573"/>
    </row>
    <row r="46" spans="2:14" ht="23.25" customHeight="1" x14ac:dyDescent="0.25">
      <c r="B46" s="560" t="s">
        <v>308</v>
      </c>
      <c r="C46" s="465"/>
      <c r="D46" s="466" t="e">
        <f t="shared" ref="D46:K46" si="19">SUM(D40:D45)</f>
        <v>#REF!</v>
      </c>
      <c r="E46" s="658" t="e">
        <f t="shared" si="19"/>
        <v>#REF!</v>
      </c>
      <c r="F46" s="464" t="e">
        <f t="shared" si="19"/>
        <v>#REF!</v>
      </c>
      <c r="G46" s="466" t="e">
        <f t="shared" si="19"/>
        <v>#REF!</v>
      </c>
      <c r="H46" s="570" t="e">
        <f t="shared" si="19"/>
        <v>#REF!</v>
      </c>
      <c r="I46" s="660" t="e">
        <f t="shared" si="19"/>
        <v>#REF!</v>
      </c>
      <c r="J46" s="466" t="e">
        <f t="shared" si="19"/>
        <v>#REF!</v>
      </c>
      <c r="K46" s="570" t="e">
        <f t="shared" si="19"/>
        <v>#REF!</v>
      </c>
      <c r="L46" s="261"/>
      <c r="M46" s="261"/>
      <c r="N46" s="574"/>
    </row>
    <row r="47" spans="2:14" ht="72" customHeight="1" x14ac:dyDescent="0.25">
      <c r="B47" s="677" t="s">
        <v>343</v>
      </c>
      <c r="C47" s="453"/>
      <c r="D47" s="449" t="e">
        <f>H15-G15</f>
        <v>#REF!</v>
      </c>
      <c r="E47" s="657" t="e">
        <f>SUM(C47:D47)</f>
        <v>#REF!</v>
      </c>
      <c r="F47" s="455" t="e">
        <f>P15-O15</f>
        <v>#REF!</v>
      </c>
      <c r="G47" s="448"/>
      <c r="H47" s="456" t="e">
        <f>SUM(F47:G47)</f>
        <v>#REF!</v>
      </c>
      <c r="J47" s="449" t="e">
        <f>X15-W15</f>
        <v>#REF!</v>
      </c>
      <c r="K47" s="456" t="e">
        <f>SUM(J47:J47)</f>
        <v>#REF!</v>
      </c>
      <c r="L47" s="261"/>
      <c r="M47" s="261"/>
      <c r="N47" s="573"/>
    </row>
    <row r="48" spans="2:14" ht="30" customHeight="1" x14ac:dyDescent="0.25">
      <c r="B48" s="678" t="s">
        <v>279</v>
      </c>
      <c r="C48" s="454"/>
      <c r="D48" s="449" t="e">
        <f>H16-G16</f>
        <v>#REF!</v>
      </c>
      <c r="E48" s="657" t="e">
        <f>SUM(C48:D48)</f>
        <v>#REF!</v>
      </c>
      <c r="F48" s="455" t="e">
        <f>P16-O16</f>
        <v>#REF!</v>
      </c>
      <c r="G48" s="448"/>
      <c r="H48" s="456" t="e">
        <f>SUM(F48:G48)</f>
        <v>#REF!</v>
      </c>
      <c r="I48" s="459">
        <v>0</v>
      </c>
      <c r="J48" s="451" t="e">
        <f>X16-W16</f>
        <v>#REF!</v>
      </c>
      <c r="K48" s="456" t="e">
        <f>SUM(I48:J48)</f>
        <v>#REF!</v>
      </c>
      <c r="L48" s="261"/>
      <c r="M48" s="261"/>
      <c r="N48" s="573"/>
    </row>
    <row r="49" spans="2:14" x14ac:dyDescent="0.25">
      <c r="B49" s="561" t="s">
        <v>319</v>
      </c>
      <c r="C49" s="559">
        <f t="shared" ref="C49:K49" si="20">SUM(C47:C48)</f>
        <v>0</v>
      </c>
      <c r="D49" s="468" t="e">
        <f t="shared" si="20"/>
        <v>#REF!</v>
      </c>
      <c r="E49" s="659" t="e">
        <f t="shared" si="20"/>
        <v>#REF!</v>
      </c>
      <c r="F49" s="467" t="e">
        <f t="shared" si="20"/>
        <v>#REF!</v>
      </c>
      <c r="G49" s="468">
        <f t="shared" si="20"/>
        <v>0</v>
      </c>
      <c r="H49" s="579" t="e">
        <f t="shared" si="20"/>
        <v>#REF!</v>
      </c>
      <c r="I49" s="661">
        <f t="shared" si="20"/>
        <v>0</v>
      </c>
      <c r="J49" s="468" t="e">
        <f t="shared" si="20"/>
        <v>#REF!</v>
      </c>
      <c r="K49" s="557" t="e">
        <f t="shared" si="20"/>
        <v>#REF!</v>
      </c>
      <c r="L49" s="261"/>
      <c r="M49" s="261"/>
      <c r="N49" s="575"/>
    </row>
    <row r="50" spans="2:14" ht="21.75" customHeight="1" x14ac:dyDescent="0.25">
      <c r="B50" s="562" t="s">
        <v>304</v>
      </c>
      <c r="C50" s="563">
        <f t="shared" ref="C50:K50" si="21">C49+C46</f>
        <v>0</v>
      </c>
      <c r="D50" s="564" t="e">
        <f t="shared" si="21"/>
        <v>#REF!</v>
      </c>
      <c r="E50" s="563" t="e">
        <f t="shared" si="21"/>
        <v>#REF!</v>
      </c>
      <c r="F50" s="565" t="e">
        <f t="shared" si="21"/>
        <v>#REF!</v>
      </c>
      <c r="G50" s="564" t="e">
        <f t="shared" si="21"/>
        <v>#REF!</v>
      </c>
      <c r="H50" s="566" t="e">
        <f t="shared" si="21"/>
        <v>#REF!</v>
      </c>
      <c r="I50" s="563" t="e">
        <f t="shared" si="21"/>
        <v>#REF!</v>
      </c>
      <c r="J50" s="564" t="e">
        <f t="shared" si="21"/>
        <v>#REF!</v>
      </c>
      <c r="K50" s="566" t="e">
        <f t="shared" si="21"/>
        <v>#REF!</v>
      </c>
      <c r="L50" s="261"/>
      <c r="M50" s="261"/>
      <c r="N50" s="574"/>
    </row>
    <row r="51" spans="2:14" ht="36" customHeight="1" thickBot="1" x14ac:dyDescent="0.3">
      <c r="B51" s="567" t="s">
        <v>310</v>
      </c>
      <c r="C51" s="568" t="e">
        <f t="shared" ref="C51:K51" si="22">C34+C50</f>
        <v>#REF!</v>
      </c>
      <c r="D51" s="578" t="e">
        <f t="shared" si="22"/>
        <v>#REF!</v>
      </c>
      <c r="E51" s="515" t="e">
        <f t="shared" si="22"/>
        <v>#REF!</v>
      </c>
      <c r="F51" s="568" t="e">
        <f t="shared" si="22"/>
        <v>#REF!</v>
      </c>
      <c r="G51" s="578" t="e">
        <f t="shared" si="22"/>
        <v>#REF!</v>
      </c>
      <c r="H51" s="569" t="e">
        <f t="shared" si="22"/>
        <v>#REF!</v>
      </c>
      <c r="I51" s="515" t="e">
        <f t="shared" si="22"/>
        <v>#REF!</v>
      </c>
      <c r="J51" s="578" t="e">
        <f t="shared" si="22"/>
        <v>#REF!</v>
      </c>
      <c r="K51" s="569" t="e">
        <f t="shared" si="22"/>
        <v>#REF!</v>
      </c>
      <c r="L51" s="261"/>
      <c r="M51" s="261"/>
      <c r="N51" s="574"/>
    </row>
    <row r="52" spans="2:14" ht="15.75" thickTop="1" x14ac:dyDescent="0.25">
      <c r="E52" s="470"/>
      <c r="F52" s="470"/>
    </row>
  </sheetData>
  <mergeCells count="20">
    <mergeCell ref="B38:B39"/>
    <mergeCell ref="C38:E38"/>
    <mergeCell ref="O5:R5"/>
    <mergeCell ref="S5:V5"/>
    <mergeCell ref="W5:Z5"/>
    <mergeCell ref="C5:F5"/>
    <mergeCell ref="B22:B23"/>
    <mergeCell ref="C22:E22"/>
    <mergeCell ref="G5:J5"/>
    <mergeCell ref="F22:H22"/>
    <mergeCell ref="I22:K22"/>
    <mergeCell ref="A13:B13"/>
    <mergeCell ref="A14:B14"/>
    <mergeCell ref="A18:B18"/>
    <mergeCell ref="K5:N5"/>
    <mergeCell ref="A3:Y3"/>
    <mergeCell ref="A4:B4"/>
    <mergeCell ref="C4:J4"/>
    <mergeCell ref="K4:R4"/>
    <mergeCell ref="S4:Z4"/>
  </mergeCells>
  <pageMargins left="0.43307086614173229" right="0.43307086614173229" top="0.74803149606299213" bottom="0.74803149606299213" header="0.31496062992125984" footer="0.31496062992125984"/>
  <pageSetup paperSize="8" scale="59" fitToHeight="2" orientation="landscape" r:id="rId1"/>
  <headerFooter>
    <oddFooter>&amp;R&amp;P</oddFooter>
  </headerFooter>
  <rowBreaks count="2" manualBreakCount="2">
    <brk id="13" max="25" man="1"/>
    <brk id="20" max="25" man="1"/>
  </rowBreaks>
  <ignoredErrors>
    <ignoredError sqref="E30 F19 N19 V19 E46 H46 K46 H30 K30"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3:F17"/>
  <sheetViews>
    <sheetView workbookViewId="0">
      <selection activeCell="I17" sqref="I17"/>
    </sheetView>
  </sheetViews>
  <sheetFormatPr defaultRowHeight="12.75" x14ac:dyDescent="0.2"/>
  <cols>
    <col min="1" max="1" width="9.140625" style="353"/>
    <col min="2" max="2" width="18.140625" style="353" customWidth="1"/>
    <col min="3" max="3" width="14.140625" style="353" customWidth="1"/>
    <col min="4" max="4" width="13.42578125" style="353" customWidth="1"/>
    <col min="5" max="5" width="13" style="353" customWidth="1"/>
    <col min="6" max="6" width="14.140625" style="353" customWidth="1"/>
    <col min="7" max="16384" width="9.140625" style="353"/>
  </cols>
  <sheetData>
    <row r="3" spans="2:6" x14ac:dyDescent="0.2">
      <c r="B3" s="390" t="s">
        <v>294</v>
      </c>
      <c r="C3" s="390"/>
      <c r="D3" s="390"/>
    </row>
    <row r="8" spans="2:6" x14ac:dyDescent="0.2">
      <c r="B8" s="1035" t="s">
        <v>285</v>
      </c>
      <c r="C8" s="1046" t="s">
        <v>100</v>
      </c>
      <c r="D8" s="1046" t="s">
        <v>50</v>
      </c>
      <c r="E8" s="1046" t="s">
        <v>111</v>
      </c>
      <c r="F8" s="1047" t="s">
        <v>221</v>
      </c>
    </row>
    <row r="9" spans="2:6" x14ac:dyDescent="0.2">
      <c r="B9" s="1035"/>
      <c r="C9" s="1046"/>
      <c r="D9" s="1046"/>
      <c r="E9" s="1046"/>
      <c r="F9" s="1048"/>
    </row>
    <row r="10" spans="2:6" ht="19.5" customHeight="1" x14ac:dyDescent="0.25">
      <c r="B10" s="391" t="s">
        <v>287</v>
      </c>
      <c r="C10" s="397">
        <v>229370</v>
      </c>
      <c r="D10" s="397">
        <v>359684</v>
      </c>
      <c r="E10" s="397">
        <v>491101</v>
      </c>
      <c r="F10" s="398">
        <f t="shared" ref="F10:F15" si="0">SUM(C10:E10)</f>
        <v>1080155</v>
      </c>
    </row>
    <row r="11" spans="2:6" ht="21.75" customHeight="1" x14ac:dyDescent="0.25">
      <c r="B11" s="391" t="s">
        <v>288</v>
      </c>
      <c r="C11" s="397"/>
      <c r="D11" s="397">
        <v>38000</v>
      </c>
      <c r="E11" s="397">
        <v>40500</v>
      </c>
      <c r="F11" s="398">
        <f t="shared" si="0"/>
        <v>78500</v>
      </c>
    </row>
    <row r="12" spans="2:6" ht="29.25" customHeight="1" x14ac:dyDescent="0.25">
      <c r="B12" s="391" t="s">
        <v>289</v>
      </c>
      <c r="C12" s="399"/>
      <c r="D12" s="400"/>
      <c r="E12" s="401">
        <v>180000</v>
      </c>
      <c r="F12" s="398">
        <f t="shared" si="0"/>
        <v>180000</v>
      </c>
    </row>
    <row r="13" spans="2:6" ht="18" customHeight="1" x14ac:dyDescent="0.25">
      <c r="B13" s="391" t="s">
        <v>290</v>
      </c>
      <c r="C13" s="397"/>
      <c r="D13" s="397"/>
      <c r="E13" s="397">
        <v>0</v>
      </c>
      <c r="F13" s="402">
        <v>0</v>
      </c>
    </row>
    <row r="14" spans="2:6" ht="31.5" customHeight="1" x14ac:dyDescent="0.25">
      <c r="B14" s="393" t="s">
        <v>291</v>
      </c>
      <c r="C14" s="397"/>
      <c r="D14" s="397"/>
      <c r="E14" s="397">
        <v>7667</v>
      </c>
      <c r="F14" s="398">
        <f t="shared" si="0"/>
        <v>7667</v>
      </c>
    </row>
    <row r="15" spans="2:6" ht="15" x14ac:dyDescent="0.25">
      <c r="B15" s="394" t="s">
        <v>292</v>
      </c>
      <c r="C15" s="403">
        <f>SUM(C10:C14)</f>
        <v>229370</v>
      </c>
      <c r="D15" s="403">
        <f>SUM(D10:D14)</f>
        <v>397684</v>
      </c>
      <c r="E15" s="403">
        <f>SUM(E10:E14)</f>
        <v>719268</v>
      </c>
      <c r="F15" s="398">
        <f t="shared" si="0"/>
        <v>1346322</v>
      </c>
    </row>
    <row r="16" spans="2:6" ht="29.25" customHeight="1" x14ac:dyDescent="0.25">
      <c r="B16" s="391" t="s">
        <v>293</v>
      </c>
      <c r="C16" s="404">
        <f>0.07*C15</f>
        <v>16055.900000000001</v>
      </c>
      <c r="D16" s="404">
        <f>0.07*D15</f>
        <v>27837.88</v>
      </c>
      <c r="E16" s="404">
        <f>0.07*E15</f>
        <v>50348.76</v>
      </c>
      <c r="F16" s="404">
        <f>0.07*F15</f>
        <v>94242.540000000008</v>
      </c>
    </row>
    <row r="17" spans="2:6" ht="19.5" customHeight="1" x14ac:dyDescent="0.25">
      <c r="B17" s="395" t="s">
        <v>104</v>
      </c>
      <c r="C17" s="405">
        <f>C16+C15</f>
        <v>245425.9</v>
      </c>
      <c r="D17" s="405">
        <f>D16+D15</f>
        <v>425521.88</v>
      </c>
      <c r="E17" s="405">
        <f>E16+E15</f>
        <v>769616.76</v>
      </c>
      <c r="F17" s="405">
        <f>F16+F15</f>
        <v>1440564.54</v>
      </c>
    </row>
  </sheetData>
  <mergeCells count="5">
    <mergeCell ref="B8:B9"/>
    <mergeCell ref="C8:C9"/>
    <mergeCell ref="D8:D9"/>
    <mergeCell ref="E8:E9"/>
    <mergeCell ref="F8:F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6"/>
  <sheetViews>
    <sheetView topLeftCell="A393" zoomScale="75" zoomScaleNormal="75" workbookViewId="0">
      <selection activeCell="M411" sqref="M411:M415"/>
    </sheetView>
  </sheetViews>
  <sheetFormatPr defaultColWidth="23.7109375" defaultRowHeight="15" x14ac:dyDescent="0.25"/>
  <cols>
    <col min="1" max="1" width="30" style="2" customWidth="1"/>
    <col min="2" max="2" width="55.140625" style="2" customWidth="1"/>
    <col min="3" max="3" width="16.85546875" style="2" customWidth="1"/>
    <col min="4" max="4" width="3.7109375" style="2" bestFit="1" customWidth="1"/>
    <col min="5" max="5" width="3.7109375" style="2" customWidth="1"/>
    <col min="6" max="10" width="3.7109375" style="2" bestFit="1" customWidth="1"/>
    <col min="11" max="11" width="3.7109375" style="2" customWidth="1"/>
    <col min="12" max="12" width="23.7109375" style="1"/>
    <col min="13" max="14" width="16.7109375" style="1" customWidth="1"/>
    <col min="15" max="15" width="18.42578125" style="1" bestFit="1" customWidth="1"/>
    <col min="16" max="16" width="15.85546875" style="1" customWidth="1"/>
    <col min="17" max="16384" width="23.7109375" style="1"/>
  </cols>
  <sheetData>
    <row r="1" spans="1:16" ht="15.75" thickBot="1" x14ac:dyDescent="0.3"/>
    <row r="2" spans="1:16" ht="19.5" customHeight="1" thickBot="1" x14ac:dyDescent="0.4">
      <c r="A2" s="1120" t="s">
        <v>229</v>
      </c>
      <c r="B2" s="1121"/>
      <c r="C2" s="1121"/>
      <c r="D2" s="1121"/>
      <c r="E2" s="1121"/>
      <c r="F2" s="1121"/>
      <c r="G2" s="1121"/>
      <c r="H2" s="1121"/>
      <c r="I2" s="1121"/>
      <c r="J2" s="1121"/>
      <c r="K2" s="1121"/>
      <c r="L2" s="1121"/>
      <c r="M2" s="1121"/>
      <c r="N2" s="1121"/>
      <c r="O2" s="1121"/>
      <c r="P2" s="1122"/>
    </row>
    <row r="3" spans="1:16" ht="15.75" x14ac:dyDescent="0.25">
      <c r="A3" s="1123" t="s">
        <v>99</v>
      </c>
      <c r="B3" s="1124"/>
      <c r="C3" s="1124"/>
      <c r="D3" s="1124"/>
      <c r="E3" s="1124"/>
      <c r="F3" s="1124"/>
      <c r="G3" s="1124"/>
      <c r="H3" s="1124"/>
      <c r="I3" s="1124"/>
      <c r="J3" s="1124"/>
      <c r="K3" s="1124"/>
      <c r="L3" s="1124"/>
      <c r="M3" s="1124"/>
      <c r="N3" s="1124"/>
      <c r="O3" s="1124"/>
      <c r="P3" s="1124"/>
    </row>
    <row r="4" spans="1:16" s="31" customFormat="1" ht="19.5" customHeight="1" x14ac:dyDescent="0.25">
      <c r="A4" s="1076" t="s">
        <v>98</v>
      </c>
      <c r="B4" s="1125"/>
      <c r="C4" s="95"/>
      <c r="D4" s="95"/>
      <c r="E4" s="95"/>
      <c r="F4" s="95"/>
      <c r="G4" s="95"/>
      <c r="H4" s="95"/>
      <c r="I4" s="95"/>
      <c r="J4" s="95"/>
      <c r="K4" s="95"/>
      <c r="L4" s="95"/>
      <c r="M4" s="95"/>
      <c r="N4" s="95"/>
      <c r="O4" s="100"/>
      <c r="P4" s="99"/>
    </row>
    <row r="5" spans="1:16" ht="39" customHeight="1" x14ac:dyDescent="0.25">
      <c r="A5" s="971" t="s">
        <v>97</v>
      </c>
      <c r="B5" s="971"/>
      <c r="C5" s="94"/>
      <c r="D5" s="963" t="s">
        <v>23</v>
      </c>
      <c r="E5" s="963"/>
      <c r="F5" s="963"/>
      <c r="G5" s="963"/>
      <c r="H5" s="963" t="s">
        <v>22</v>
      </c>
      <c r="I5" s="963"/>
      <c r="J5" s="963"/>
      <c r="K5" s="963"/>
      <c r="L5" s="963" t="s">
        <v>198</v>
      </c>
      <c r="M5" s="963"/>
      <c r="N5" s="963"/>
      <c r="O5" s="963"/>
      <c r="P5" s="963"/>
    </row>
    <row r="6" spans="1:16" ht="31.5" x14ac:dyDescent="0.25">
      <c r="A6" s="27" t="s">
        <v>21</v>
      </c>
      <c r="B6" s="27" t="s">
        <v>96</v>
      </c>
      <c r="C6" s="27" t="s">
        <v>24</v>
      </c>
      <c r="D6" s="27" t="s">
        <v>19</v>
      </c>
      <c r="E6" s="27" t="s">
        <v>18</v>
      </c>
      <c r="F6" s="27" t="s">
        <v>17</v>
      </c>
      <c r="G6" s="27" t="s">
        <v>16</v>
      </c>
      <c r="H6" s="27" t="s">
        <v>19</v>
      </c>
      <c r="I6" s="27" t="s">
        <v>18</v>
      </c>
      <c r="J6" s="27" t="s">
        <v>17</v>
      </c>
      <c r="K6" s="27" t="s">
        <v>16</v>
      </c>
      <c r="L6" s="233" t="s">
        <v>15</v>
      </c>
      <c r="M6" s="27" t="s">
        <v>14</v>
      </c>
      <c r="N6" s="27" t="s">
        <v>13</v>
      </c>
      <c r="O6" s="233" t="s">
        <v>221</v>
      </c>
      <c r="P6" s="27" t="s">
        <v>230</v>
      </c>
    </row>
    <row r="7" spans="1:16" ht="47.25" x14ac:dyDescent="0.25">
      <c r="A7" s="1126" t="s">
        <v>199</v>
      </c>
      <c r="B7" s="205" t="s">
        <v>200</v>
      </c>
      <c r="C7" s="1127" t="s">
        <v>100</v>
      </c>
      <c r="D7" s="113"/>
      <c r="E7" s="113"/>
      <c r="F7" s="113"/>
      <c r="G7" s="113"/>
      <c r="H7" s="113"/>
      <c r="I7" s="113"/>
      <c r="J7" s="113"/>
      <c r="K7" s="113"/>
      <c r="L7" s="26" t="s">
        <v>32</v>
      </c>
      <c r="M7" s="114">
        <f>'[2]FAO '!M7</f>
        <v>181993.60000000001</v>
      </c>
      <c r="N7" s="114">
        <f>'[2]FAO '!N7</f>
        <v>181993.60000000001</v>
      </c>
      <c r="O7" s="26">
        <f>SUM(M7:N7)</f>
        <v>363987.20000000001</v>
      </c>
      <c r="P7" s="114">
        <f>'[2]FAO '!P7</f>
        <v>317115</v>
      </c>
    </row>
    <row r="8" spans="1:16" ht="31.5" x14ac:dyDescent="0.25">
      <c r="A8" s="1126"/>
      <c r="B8" s="206" t="s">
        <v>201</v>
      </c>
      <c r="C8" s="1128"/>
      <c r="D8" s="113"/>
      <c r="E8" s="113"/>
      <c r="F8" s="113"/>
      <c r="G8" s="113"/>
      <c r="H8" s="113"/>
      <c r="I8" s="113"/>
      <c r="J8" s="113"/>
      <c r="K8" s="113"/>
      <c r="L8" s="22" t="s">
        <v>30</v>
      </c>
      <c r="M8" s="22">
        <f>'[2]FAO '!M8</f>
        <v>20000</v>
      </c>
      <c r="N8" s="22">
        <f>'[2]FAO '!N8</f>
        <v>20000</v>
      </c>
      <c r="O8" s="26">
        <f>SUM(M8:N8)</f>
        <v>40000</v>
      </c>
      <c r="P8" s="22">
        <f>'[2]FAO '!P8</f>
        <v>20000</v>
      </c>
    </row>
    <row r="9" spans="1:16" ht="31.5" x14ac:dyDescent="0.25">
      <c r="A9" s="1126"/>
      <c r="B9" s="205" t="s">
        <v>202</v>
      </c>
      <c r="C9" s="1128"/>
      <c r="D9" s="113"/>
      <c r="E9" s="113"/>
      <c r="F9" s="113"/>
      <c r="G9" s="113"/>
      <c r="H9" s="113"/>
      <c r="I9" s="113"/>
      <c r="J9" s="113"/>
      <c r="K9" s="113"/>
      <c r="L9" s="22" t="s">
        <v>28</v>
      </c>
      <c r="M9" s="22">
        <f>'[2]FAO '!M9</f>
        <v>60000</v>
      </c>
      <c r="N9" s="22">
        <f>'[2]FAO '!N9</f>
        <v>60000</v>
      </c>
      <c r="O9" s="26">
        <f>SUM(M9:N9)</f>
        <v>120000</v>
      </c>
      <c r="P9" s="16">
        <f>'[2]FAO '!P9</f>
        <v>140000</v>
      </c>
    </row>
    <row r="10" spans="1:16" ht="24.75" customHeight="1" x14ac:dyDescent="0.25">
      <c r="A10" s="1126"/>
      <c r="B10" s="52"/>
      <c r="C10" s="1128"/>
      <c r="D10" s="115"/>
      <c r="E10" s="115"/>
      <c r="F10" s="115"/>
      <c r="G10" s="115"/>
      <c r="H10" s="115"/>
      <c r="I10" s="115"/>
      <c r="J10" s="115"/>
      <c r="K10" s="115"/>
      <c r="L10" s="25" t="s">
        <v>27</v>
      </c>
      <c r="M10" s="25">
        <f>'[2]FAO '!M10</f>
        <v>12543</v>
      </c>
      <c r="N10" s="25">
        <f>'[2]FAO '!N10</f>
        <v>12543</v>
      </c>
      <c r="O10" s="26">
        <f>SUM(M10:N10)</f>
        <v>25086</v>
      </c>
      <c r="P10" s="25">
        <f>'[2]FAO '!P10</f>
        <v>12543</v>
      </c>
    </row>
    <row r="11" spans="1:16" ht="31.5" x14ac:dyDescent="0.25">
      <c r="A11" s="1126"/>
      <c r="B11" s="52"/>
      <c r="C11" s="1128"/>
      <c r="D11" s="115"/>
      <c r="E11" s="115"/>
      <c r="F11" s="115"/>
      <c r="G11" s="115"/>
      <c r="H11" s="115"/>
      <c r="I11" s="115"/>
      <c r="J11" s="115"/>
      <c r="K11" s="115"/>
      <c r="L11" s="23" t="s">
        <v>25</v>
      </c>
      <c r="M11" s="23">
        <f>'[2]FAO '!M11</f>
        <v>10342</v>
      </c>
      <c r="N11" s="23">
        <f>'[2]FAO '!N11</f>
        <v>10342</v>
      </c>
      <c r="O11" s="26">
        <f>SUM(M11:N11)</f>
        <v>20684</v>
      </c>
      <c r="P11" s="23">
        <v>10342</v>
      </c>
    </row>
    <row r="12" spans="1:16" ht="15.75" x14ac:dyDescent="0.25">
      <c r="A12" s="20" t="s">
        <v>6</v>
      </c>
      <c r="B12" s="52"/>
      <c r="C12" s="1128"/>
      <c r="D12" s="115"/>
      <c r="E12" s="115"/>
      <c r="F12" s="115"/>
      <c r="G12" s="115"/>
      <c r="H12" s="115"/>
      <c r="I12" s="115"/>
      <c r="J12" s="115"/>
      <c r="K12" s="115"/>
      <c r="L12" s="116"/>
      <c r="M12" s="117">
        <f>SUM(M7:M11)</f>
        <v>284878.59999999998</v>
      </c>
      <c r="N12" s="117">
        <f>SUM(N7:N11)</f>
        <v>284878.59999999998</v>
      </c>
      <c r="O12" s="234">
        <f>SUM(O7:O11)</f>
        <v>569757.19999999995</v>
      </c>
      <c r="P12" s="117">
        <f>SUM(P7:P11)</f>
        <v>500000</v>
      </c>
    </row>
    <row r="13" spans="1:16" ht="15.75" x14ac:dyDescent="0.25">
      <c r="A13" s="20" t="s">
        <v>5</v>
      </c>
      <c r="B13" s="52"/>
      <c r="C13" s="1129"/>
      <c r="D13" s="115"/>
      <c r="E13" s="115"/>
      <c r="F13" s="115"/>
      <c r="G13" s="115"/>
      <c r="H13" s="115"/>
      <c r="I13" s="115"/>
      <c r="J13" s="115"/>
      <c r="K13" s="115"/>
      <c r="L13" s="116"/>
      <c r="M13" s="116">
        <f>0.07*M12</f>
        <v>19941.502</v>
      </c>
      <c r="N13" s="116">
        <f>0.07*N12</f>
        <v>19941.502</v>
      </c>
      <c r="O13" s="116">
        <f>0.07*O12</f>
        <v>39883.004000000001</v>
      </c>
      <c r="P13" s="116">
        <f>0.07*P12</f>
        <v>35000</v>
      </c>
    </row>
    <row r="14" spans="1:16" ht="15.75" x14ac:dyDescent="0.25">
      <c r="A14" s="118" t="s">
        <v>4</v>
      </c>
      <c r="B14" s="11"/>
      <c r="C14" s="11"/>
      <c r="D14" s="11"/>
      <c r="E14" s="11"/>
      <c r="F14" s="11"/>
      <c r="G14" s="11"/>
      <c r="H14" s="11"/>
      <c r="I14" s="11"/>
      <c r="J14" s="11"/>
      <c r="K14" s="11"/>
      <c r="L14" s="10"/>
      <c r="M14" s="9">
        <f>M13+M12</f>
        <v>304820.10199999996</v>
      </c>
      <c r="N14" s="9">
        <f>N13+N12</f>
        <v>304820.10199999996</v>
      </c>
      <c r="O14" s="9">
        <f>O12+O13</f>
        <v>609640.20399999991</v>
      </c>
      <c r="P14" s="9">
        <f>P12+P13</f>
        <v>535000</v>
      </c>
    </row>
    <row r="15" spans="1:16" ht="47.25" x14ac:dyDescent="0.25">
      <c r="A15" s="1130" t="s">
        <v>105</v>
      </c>
      <c r="B15" s="119"/>
      <c r="C15" s="948" t="s">
        <v>100</v>
      </c>
      <c r="D15" s="120"/>
      <c r="E15" s="120"/>
      <c r="F15" s="120"/>
      <c r="G15" s="120"/>
      <c r="H15" s="120"/>
      <c r="I15" s="120"/>
      <c r="J15" s="120"/>
      <c r="K15" s="120"/>
      <c r="L15" s="26" t="s">
        <v>32</v>
      </c>
      <c r="M15" s="26">
        <f>'[2]FAO '!M15</f>
        <v>0</v>
      </c>
      <c r="N15" s="26">
        <f>'[2]FAO '!N15</f>
        <v>0</v>
      </c>
      <c r="O15" s="26">
        <f>SUM(M15:N15)</f>
        <v>0</v>
      </c>
      <c r="P15" s="17">
        <f>'[2]FAO '!P15</f>
        <v>0</v>
      </c>
    </row>
    <row r="16" spans="1:16" ht="15.75" x14ac:dyDescent="0.25">
      <c r="A16" s="1049"/>
      <c r="B16" s="121"/>
      <c r="C16" s="949"/>
      <c r="D16" s="120"/>
      <c r="E16" s="120"/>
      <c r="F16" s="120"/>
      <c r="G16" s="120"/>
      <c r="H16" s="120"/>
      <c r="I16" s="120"/>
      <c r="J16" s="120"/>
      <c r="K16" s="120"/>
      <c r="L16" s="22" t="s">
        <v>30</v>
      </c>
      <c r="M16" s="22">
        <f>'[2]FAO '!M16</f>
        <v>0</v>
      </c>
      <c r="N16" s="22">
        <f>'[2]FAO '!N16</f>
        <v>0</v>
      </c>
      <c r="O16" s="26">
        <f>SUM(M16:N16)</f>
        <v>0</v>
      </c>
      <c r="P16" s="17">
        <f>'[2]FAO '!P16</f>
        <v>0</v>
      </c>
    </row>
    <row r="17" spans="1:16" ht="31.5" x14ac:dyDescent="0.25">
      <c r="A17" s="1049"/>
      <c r="B17" s="19"/>
      <c r="C17" s="949"/>
      <c r="D17" s="19"/>
      <c r="E17" s="19"/>
      <c r="F17" s="19"/>
      <c r="G17" s="19"/>
      <c r="H17" s="19"/>
      <c r="I17" s="19"/>
      <c r="J17" s="19"/>
      <c r="K17" s="19"/>
      <c r="L17" s="22" t="s">
        <v>28</v>
      </c>
      <c r="M17" s="22">
        <f>'[2]FAO '!M17</f>
        <v>0</v>
      </c>
      <c r="N17" s="22">
        <f>'[2]FAO '!N17</f>
        <v>0</v>
      </c>
      <c r="O17" s="26">
        <f>SUM(M17:N17)</f>
        <v>0</v>
      </c>
      <c r="P17" s="17">
        <f>'[2]FAO '!P17</f>
        <v>0</v>
      </c>
    </row>
    <row r="18" spans="1:16" ht="15.75" x14ac:dyDescent="0.25">
      <c r="A18" s="1049"/>
      <c r="B18" s="19"/>
      <c r="C18" s="949"/>
      <c r="D18" s="19"/>
      <c r="E18" s="19"/>
      <c r="F18" s="19"/>
      <c r="G18" s="19"/>
      <c r="H18" s="19"/>
      <c r="I18" s="19"/>
      <c r="J18" s="19"/>
      <c r="K18" s="19"/>
      <c r="L18" s="25" t="s">
        <v>27</v>
      </c>
      <c r="M18" s="25">
        <f>'[2]FAO '!M18</f>
        <v>0</v>
      </c>
      <c r="N18" s="25"/>
      <c r="O18" s="26">
        <f>SUM(M18:N18)</f>
        <v>0</v>
      </c>
      <c r="P18" s="17">
        <f>'[2]FAO '!P18</f>
        <v>0</v>
      </c>
    </row>
    <row r="19" spans="1:16" ht="31.5" x14ac:dyDescent="0.25">
      <c r="A19" s="1049"/>
      <c r="B19" s="19"/>
      <c r="C19" s="949"/>
      <c r="D19" s="19"/>
      <c r="E19" s="19"/>
      <c r="F19" s="19"/>
      <c r="G19" s="19"/>
      <c r="H19" s="19"/>
      <c r="I19" s="19"/>
      <c r="J19" s="19"/>
      <c r="K19" s="19"/>
      <c r="L19" s="23" t="s">
        <v>25</v>
      </c>
      <c r="M19" s="23">
        <f>'[2]FAO '!M19</f>
        <v>0</v>
      </c>
      <c r="N19" s="23">
        <f>'[2]FAO '!N19</f>
        <v>0</v>
      </c>
      <c r="O19" s="26">
        <f>SUM(M19:N19)</f>
        <v>0</v>
      </c>
      <c r="P19" s="17">
        <f>'[2]FAO '!P19</f>
        <v>0</v>
      </c>
    </row>
    <row r="20" spans="1:16" ht="15.75" x14ac:dyDescent="0.25">
      <c r="A20" s="20" t="s">
        <v>6</v>
      </c>
      <c r="B20" s="19"/>
      <c r="C20" s="949"/>
      <c r="D20" s="19"/>
      <c r="E20" s="19"/>
      <c r="F20" s="19"/>
      <c r="G20" s="19"/>
      <c r="H20" s="19"/>
      <c r="I20" s="19"/>
      <c r="J20" s="19"/>
      <c r="K20" s="19"/>
      <c r="L20" s="17"/>
      <c r="M20" s="17">
        <f>SUM(M15:M19)</f>
        <v>0</v>
      </c>
      <c r="N20" s="17">
        <f>SUM(N15:N19)</f>
        <v>0</v>
      </c>
      <c r="O20" s="26">
        <f>SUM(O15:O19)</f>
        <v>0</v>
      </c>
      <c r="P20" s="17">
        <f>SUM(P15:P19)</f>
        <v>0</v>
      </c>
    </row>
    <row r="21" spans="1:16" ht="15.75" x14ac:dyDescent="0.25">
      <c r="A21" s="20" t="s">
        <v>5</v>
      </c>
      <c r="B21" s="19"/>
      <c r="C21" s="950"/>
      <c r="D21" s="19"/>
      <c r="E21" s="19"/>
      <c r="F21" s="19"/>
      <c r="G21" s="19"/>
      <c r="H21" s="19"/>
      <c r="I21" s="19"/>
      <c r="J21" s="19"/>
      <c r="K21" s="19"/>
      <c r="L21" s="17"/>
      <c r="M21" s="17">
        <f>0.07*M20</f>
        <v>0</v>
      </c>
      <c r="N21" s="17">
        <f>0.07*N20</f>
        <v>0</v>
      </c>
      <c r="O21" s="17">
        <f>0.07*O20</f>
        <v>0</v>
      </c>
      <c r="P21" s="17">
        <f>0.07*P20</f>
        <v>0</v>
      </c>
    </row>
    <row r="22" spans="1:16" ht="15.75" x14ac:dyDescent="0.25">
      <c r="A22" s="15" t="s">
        <v>87</v>
      </c>
      <c r="B22" s="14"/>
      <c r="C22" s="14"/>
      <c r="D22" s="14"/>
      <c r="E22" s="14"/>
      <c r="F22" s="14"/>
      <c r="G22" s="14"/>
      <c r="H22" s="14"/>
      <c r="I22" s="14"/>
      <c r="J22" s="14"/>
      <c r="K22" s="14"/>
      <c r="L22" s="13"/>
      <c r="M22" s="91">
        <f>M21+M20</f>
        <v>0</v>
      </c>
      <c r="N22" s="91">
        <f>N21+N20</f>
        <v>0</v>
      </c>
      <c r="O22" s="91">
        <f>O21+O20</f>
        <v>0</v>
      </c>
      <c r="P22" s="91">
        <f>P21+P20</f>
        <v>0</v>
      </c>
    </row>
    <row r="23" spans="1:16" ht="47.25" x14ac:dyDescent="0.25">
      <c r="A23" s="1131" t="s">
        <v>106</v>
      </c>
      <c r="B23" s="122" t="s">
        <v>107</v>
      </c>
      <c r="C23" s="983" t="s">
        <v>100</v>
      </c>
      <c r="D23" s="104"/>
      <c r="E23" s="120"/>
      <c r="F23" s="120"/>
      <c r="G23" s="120"/>
      <c r="H23" s="120"/>
      <c r="I23" s="120"/>
      <c r="J23" s="120"/>
      <c r="K23" s="120"/>
      <c r="L23" s="26" t="s">
        <v>32</v>
      </c>
      <c r="M23" s="56">
        <f>'[2]FAO '!M23</f>
        <v>1065000.2999999998</v>
      </c>
      <c r="N23" s="56">
        <f>'[2]FAO '!N23</f>
        <v>1065000.2999999998</v>
      </c>
      <c r="O23" s="56">
        <f>SUM(M23:N23)</f>
        <v>2130000.5999999996</v>
      </c>
      <c r="P23" s="56">
        <f>'[2]FAO '!P23</f>
        <v>1065000.2999999998</v>
      </c>
    </row>
    <row r="24" spans="1:16" ht="31.5" x14ac:dyDescent="0.25">
      <c r="A24" s="1132"/>
      <c r="B24" s="123" t="s">
        <v>108</v>
      </c>
      <c r="C24" s="984"/>
      <c r="D24" s="120"/>
      <c r="E24" s="120"/>
      <c r="F24" s="120"/>
      <c r="G24" s="120"/>
      <c r="H24" s="120"/>
      <c r="I24" s="120"/>
      <c r="J24" s="120"/>
      <c r="K24" s="120"/>
      <c r="L24" s="22" t="s">
        <v>30</v>
      </c>
      <c r="M24" s="56">
        <f>'[2]FAO '!M24</f>
        <v>205000</v>
      </c>
      <c r="N24" s="56">
        <f>'[2]FAO '!N24</f>
        <v>205000</v>
      </c>
      <c r="O24" s="56">
        <f>SUM(M24:N24)</f>
        <v>410000</v>
      </c>
      <c r="P24" s="56">
        <f>'[2]FAO '!P24</f>
        <v>220000</v>
      </c>
    </row>
    <row r="25" spans="1:16" ht="47.25" x14ac:dyDescent="0.25">
      <c r="A25" s="1132"/>
      <c r="B25" s="123" t="s">
        <v>109</v>
      </c>
      <c r="C25" s="984"/>
      <c r="D25" s="120"/>
      <c r="E25" s="120"/>
      <c r="F25" s="120"/>
      <c r="G25" s="120"/>
      <c r="H25" s="120"/>
      <c r="I25" s="120"/>
      <c r="J25" s="120"/>
      <c r="K25" s="120"/>
      <c r="L25" s="22" t="s">
        <v>28</v>
      </c>
      <c r="M25" s="56">
        <f>'[2]FAO '!M25</f>
        <v>185000</v>
      </c>
      <c r="N25" s="56">
        <f>'[2]FAO '!N25</f>
        <v>185000</v>
      </c>
      <c r="O25" s="56">
        <f>SUM(M25:N25)</f>
        <v>370000</v>
      </c>
      <c r="P25" s="56">
        <f>'[2]FAO '!P25</f>
        <v>200000</v>
      </c>
    </row>
    <row r="26" spans="1:16" ht="15.75" x14ac:dyDescent="0.25">
      <c r="A26" s="1132"/>
      <c r="B26" s="50"/>
      <c r="C26" s="984"/>
      <c r="D26" s="50"/>
      <c r="E26" s="50"/>
      <c r="F26" s="50"/>
      <c r="G26" s="50"/>
      <c r="H26" s="50"/>
      <c r="I26" s="50"/>
      <c r="J26" s="50"/>
      <c r="K26" s="50"/>
      <c r="L26" s="25" t="s">
        <v>27</v>
      </c>
      <c r="M26" s="56">
        <f>'[2]FAO '!M26</f>
        <v>40000</v>
      </c>
      <c r="N26" s="56">
        <f>'[2]FAO '!N26</f>
        <v>40000</v>
      </c>
      <c r="O26" s="56">
        <f>SUM(M26:N26)</f>
        <v>80000</v>
      </c>
      <c r="P26" s="56">
        <f>'[2]FAO '!P26</f>
        <v>40000</v>
      </c>
    </row>
    <row r="27" spans="1:16" ht="31.5" x14ac:dyDescent="0.25">
      <c r="A27" s="1133"/>
      <c r="B27" s="50"/>
      <c r="C27" s="984"/>
      <c r="D27" s="50"/>
      <c r="E27" s="50"/>
      <c r="F27" s="50"/>
      <c r="G27" s="50"/>
      <c r="H27" s="50"/>
      <c r="I27" s="50"/>
      <c r="J27" s="50"/>
      <c r="K27" s="50"/>
      <c r="L27" s="23" t="s">
        <v>25</v>
      </c>
      <c r="M27" s="56">
        <f>'[2]FAO '!M27</f>
        <v>15000</v>
      </c>
      <c r="N27" s="56">
        <f>'[2]FAO '!N27</f>
        <v>15000</v>
      </c>
      <c r="O27" s="56">
        <f>SUM(M27:N27)</f>
        <v>30000</v>
      </c>
      <c r="P27" s="56">
        <f>'[2]FAO '!P27</f>
        <v>15000</v>
      </c>
    </row>
    <row r="28" spans="1:16" ht="15.75" x14ac:dyDescent="0.25">
      <c r="A28" s="20" t="s">
        <v>6</v>
      </c>
      <c r="B28" s="50"/>
      <c r="C28" s="984"/>
      <c r="D28" s="50"/>
      <c r="E28" s="50"/>
      <c r="F28" s="50"/>
      <c r="G28" s="50"/>
      <c r="H28" s="50"/>
      <c r="I28" s="50"/>
      <c r="J28" s="50"/>
      <c r="K28" s="50"/>
      <c r="L28" s="56"/>
      <c r="M28" s="124">
        <f>SUM(M23:M27)</f>
        <v>1510000.2999999998</v>
      </c>
      <c r="N28" s="56">
        <f>SUM(N23:N27)</f>
        <v>1510000.2999999998</v>
      </c>
      <c r="O28" s="56">
        <f>SUM(O23:O27)</f>
        <v>3020000.5999999996</v>
      </c>
      <c r="P28" s="56">
        <f>SUM(P23:P27)</f>
        <v>1540000.2999999998</v>
      </c>
    </row>
    <row r="29" spans="1:16" ht="15.75" x14ac:dyDescent="0.25">
      <c r="A29" s="20" t="s">
        <v>5</v>
      </c>
      <c r="B29" s="50"/>
      <c r="C29" s="985"/>
      <c r="D29" s="50"/>
      <c r="E29" s="50"/>
      <c r="F29" s="50"/>
      <c r="G29" s="50"/>
      <c r="H29" s="50"/>
      <c r="I29" s="50"/>
      <c r="J29" s="50"/>
      <c r="K29" s="50"/>
      <c r="L29" s="56"/>
      <c r="M29" s="56">
        <f>0.07*M28</f>
        <v>105700.02099999999</v>
      </c>
      <c r="N29" s="56">
        <f>0.07*N28</f>
        <v>105700.02099999999</v>
      </c>
      <c r="O29" s="56">
        <f>0.07*O28</f>
        <v>211400.04199999999</v>
      </c>
      <c r="P29" s="56">
        <f>0.07*P28</f>
        <v>107800.02099999999</v>
      </c>
    </row>
    <row r="30" spans="1:16" ht="15.75" x14ac:dyDescent="0.25">
      <c r="A30" s="55" t="s">
        <v>4</v>
      </c>
      <c r="B30" s="14"/>
      <c r="C30" s="14"/>
      <c r="D30" s="14"/>
      <c r="E30" s="14"/>
      <c r="F30" s="14"/>
      <c r="G30" s="14"/>
      <c r="H30" s="14"/>
      <c r="I30" s="14"/>
      <c r="J30" s="14"/>
      <c r="K30" s="14"/>
      <c r="L30" s="13"/>
      <c r="M30" s="91">
        <f>M29+M28</f>
        <v>1615700.3209999998</v>
      </c>
      <c r="N30" s="91">
        <f>N29+N28</f>
        <v>1615700.3209999998</v>
      </c>
      <c r="O30" s="91">
        <f>O29+O28</f>
        <v>3231400.6419999995</v>
      </c>
      <c r="P30" s="91">
        <f>P29+P28</f>
        <v>1647800.3209999998</v>
      </c>
    </row>
    <row r="31" spans="1:16" ht="47.25" x14ac:dyDescent="0.25">
      <c r="A31" s="1111" t="s">
        <v>110</v>
      </c>
      <c r="B31" s="1111" t="s">
        <v>231</v>
      </c>
      <c r="C31" s="1066" t="s">
        <v>111</v>
      </c>
      <c r="D31" s="50"/>
      <c r="E31" s="58"/>
      <c r="F31" s="50"/>
      <c r="G31" s="58"/>
      <c r="H31" s="50"/>
      <c r="I31" s="58"/>
      <c r="J31" s="50"/>
      <c r="K31" s="58"/>
      <c r="L31" s="26" t="s">
        <v>32</v>
      </c>
      <c r="N31" s="56">
        <f>130000*0.35</f>
        <v>45500</v>
      </c>
      <c r="O31" s="56">
        <f>SUM(N31:N31)</f>
        <v>45500</v>
      </c>
      <c r="P31" s="43">
        <v>42000</v>
      </c>
    </row>
    <row r="32" spans="1:16" ht="15.75" x14ac:dyDescent="0.25">
      <c r="A32" s="1112"/>
      <c r="B32" s="1112"/>
      <c r="C32" s="1067"/>
      <c r="D32" s="50"/>
      <c r="E32" s="58"/>
      <c r="F32" s="50"/>
      <c r="G32" s="58"/>
      <c r="H32" s="50"/>
      <c r="I32" s="58"/>
      <c r="J32" s="50"/>
      <c r="K32" s="58"/>
      <c r="L32" s="22" t="s">
        <v>30</v>
      </c>
      <c r="N32" s="56">
        <f>130000*0.3</f>
        <v>39000</v>
      </c>
      <c r="O32" s="56">
        <f>SUM(N32:N32)</f>
        <v>39000</v>
      </c>
      <c r="P32" s="43">
        <v>34000</v>
      </c>
    </row>
    <row r="33" spans="1:16" ht="31.5" x14ac:dyDescent="0.25">
      <c r="A33" s="1112"/>
      <c r="B33" s="1112"/>
      <c r="C33" s="1067"/>
      <c r="D33" s="50"/>
      <c r="E33" s="58"/>
      <c r="F33" s="50"/>
      <c r="G33" s="58"/>
      <c r="H33" s="50"/>
      <c r="I33" s="58"/>
      <c r="J33" s="50"/>
      <c r="K33" s="58"/>
      <c r="L33" s="22" t="s">
        <v>28</v>
      </c>
      <c r="N33" s="56">
        <f>130000*0.25</f>
        <v>32500</v>
      </c>
      <c r="O33" s="56">
        <f>SUM(N33:N33)</f>
        <v>32500</v>
      </c>
      <c r="P33" s="43">
        <v>30000</v>
      </c>
    </row>
    <row r="34" spans="1:16" ht="15.75" x14ac:dyDescent="0.25">
      <c r="A34" s="1112"/>
      <c r="B34" s="1112"/>
      <c r="C34" s="1067"/>
      <c r="D34" s="50"/>
      <c r="E34" s="58"/>
      <c r="F34" s="50"/>
      <c r="G34" s="58"/>
      <c r="H34" s="50"/>
      <c r="I34" s="58"/>
      <c r="J34" s="50"/>
      <c r="K34" s="58"/>
      <c r="L34" s="25" t="s">
        <v>27</v>
      </c>
      <c r="N34" s="56">
        <f>130000*0.05</f>
        <v>6500</v>
      </c>
      <c r="O34" s="56">
        <f>SUM(N34:N34)</f>
        <v>6500</v>
      </c>
      <c r="P34" s="43">
        <v>5800</v>
      </c>
    </row>
    <row r="35" spans="1:16" ht="31.5" x14ac:dyDescent="0.25">
      <c r="A35" s="1113"/>
      <c r="B35" s="1113"/>
      <c r="C35" s="1068"/>
      <c r="D35" s="50"/>
      <c r="E35" s="58"/>
      <c r="F35" s="50"/>
      <c r="G35" s="58"/>
      <c r="H35" s="50"/>
      <c r="I35" s="58"/>
      <c r="J35" s="50"/>
      <c r="K35" s="58"/>
      <c r="L35" s="23" t="s">
        <v>25</v>
      </c>
      <c r="N35" s="56">
        <f>130000*0.05</f>
        <v>6500</v>
      </c>
      <c r="O35" s="56">
        <f>SUM(N35:N35)</f>
        <v>6500</v>
      </c>
      <c r="P35" s="43">
        <v>5800</v>
      </c>
    </row>
    <row r="36" spans="1:16" ht="15.75" x14ac:dyDescent="0.25">
      <c r="A36" s="125" t="s">
        <v>6</v>
      </c>
      <c r="B36" s="126"/>
      <c r="C36" s="127"/>
      <c r="D36" s="50"/>
      <c r="E36" s="50"/>
      <c r="F36" s="50"/>
      <c r="G36" s="50"/>
      <c r="H36" s="50"/>
      <c r="I36" s="50"/>
      <c r="J36" s="50"/>
      <c r="K36" s="50"/>
      <c r="L36" s="56"/>
      <c r="N36" s="56">
        <f>SUM(N31:N35)</f>
        <v>130000</v>
      </c>
      <c r="O36" s="56">
        <f>SUM(O31:O35)</f>
        <v>130000</v>
      </c>
      <c r="P36" s="56">
        <f>SUM(P31:P35)</f>
        <v>117600</v>
      </c>
    </row>
    <row r="37" spans="1:16" ht="15.75" x14ac:dyDescent="0.25">
      <c r="A37" s="125" t="s">
        <v>5</v>
      </c>
      <c r="B37" s="126"/>
      <c r="C37" s="127"/>
      <c r="D37" s="50"/>
      <c r="E37" s="50"/>
      <c r="F37" s="50"/>
      <c r="G37" s="50"/>
      <c r="H37" s="50"/>
      <c r="I37" s="50"/>
      <c r="J37" s="50"/>
      <c r="K37" s="50"/>
      <c r="L37" s="56"/>
      <c r="N37" s="56">
        <f>0.07*N36</f>
        <v>9100</v>
      </c>
      <c r="O37" s="56">
        <f>0.07*O36</f>
        <v>9100</v>
      </c>
      <c r="P37" s="56">
        <f>0.07*P36</f>
        <v>8232</v>
      </c>
    </row>
    <row r="38" spans="1:16" ht="15.75" x14ac:dyDescent="0.25">
      <c r="A38" s="128" t="s">
        <v>87</v>
      </c>
      <c r="B38" s="129"/>
      <c r="C38" s="207"/>
      <c r="D38" s="14"/>
      <c r="E38" s="14"/>
      <c r="F38" s="14"/>
      <c r="G38" s="14"/>
      <c r="H38" s="14"/>
      <c r="I38" s="14"/>
      <c r="J38" s="14"/>
      <c r="K38" s="14"/>
      <c r="L38" s="13"/>
      <c r="M38" s="91" t="e">
        <f>'Secretariat work plan 2014 '!#REF!+'Secretariat work plan 2014 '!#REF!</f>
        <v>#REF!</v>
      </c>
      <c r="N38" s="91">
        <f>N37+N36</f>
        <v>139100</v>
      </c>
      <c r="O38" s="91">
        <f>O37+O36</f>
        <v>139100</v>
      </c>
      <c r="P38" s="91">
        <f>P37+P36</f>
        <v>125832</v>
      </c>
    </row>
    <row r="39" spans="1:16" ht="47.25" x14ac:dyDescent="0.25">
      <c r="A39" s="1114" t="s">
        <v>203</v>
      </c>
      <c r="B39" s="208" t="s">
        <v>204</v>
      </c>
      <c r="C39" s="948" t="s">
        <v>100</v>
      </c>
      <c r="D39" s="120"/>
      <c r="E39" s="120"/>
      <c r="F39" s="120"/>
      <c r="G39" s="120"/>
      <c r="H39" s="120"/>
      <c r="I39" s="120"/>
      <c r="J39" s="120"/>
      <c r="K39" s="120"/>
      <c r="L39" s="26" t="s">
        <v>32</v>
      </c>
      <c r="N39" s="25">
        <f>'[2]FAO '!N31</f>
        <v>3495968</v>
      </c>
      <c r="O39" s="22">
        <f>SUM(N39:N39)</f>
        <v>3495968</v>
      </c>
      <c r="P39" s="25">
        <f>'[2]FAO '!P31</f>
        <v>3515968</v>
      </c>
    </row>
    <row r="40" spans="1:16" ht="15.75" x14ac:dyDescent="0.25">
      <c r="A40" s="1115"/>
      <c r="B40" s="208" t="s">
        <v>205</v>
      </c>
      <c r="C40" s="949"/>
      <c r="D40" s="120"/>
      <c r="E40" s="120"/>
      <c r="F40" s="120"/>
      <c r="G40" s="120"/>
      <c r="H40" s="120"/>
      <c r="I40" s="120"/>
      <c r="J40" s="120"/>
      <c r="K40" s="120"/>
      <c r="L40" s="26" t="s">
        <v>30</v>
      </c>
      <c r="N40" s="25">
        <f>'[2]FAO '!N32</f>
        <v>383738</v>
      </c>
      <c r="O40" s="22">
        <f>SUM(N40:N40)</f>
        <v>383738</v>
      </c>
      <c r="P40" s="25">
        <f>'[2]FAO '!P32</f>
        <v>403738</v>
      </c>
    </row>
    <row r="41" spans="1:16" ht="31.5" x14ac:dyDescent="0.25">
      <c r="A41" s="1115"/>
      <c r="B41" s="209" t="s">
        <v>101</v>
      </c>
      <c r="C41" s="949"/>
      <c r="D41" s="120"/>
      <c r="E41" s="120"/>
      <c r="F41" s="120"/>
      <c r="G41" s="120"/>
      <c r="H41" s="120"/>
      <c r="I41" s="120"/>
      <c r="J41" s="120"/>
      <c r="K41" s="120"/>
      <c r="L41" s="22" t="s">
        <v>28</v>
      </c>
      <c r="N41" s="23">
        <f>'[2]FAO '!N33</f>
        <v>342000</v>
      </c>
      <c r="O41" s="22">
        <f>SUM(N41:N41)</f>
        <v>342000</v>
      </c>
      <c r="P41" s="23">
        <f>'[2]FAO '!P33</f>
        <v>357000</v>
      </c>
    </row>
    <row r="42" spans="1:16" ht="31.5" x14ac:dyDescent="0.25">
      <c r="A42" s="1115"/>
      <c r="B42" s="210" t="s">
        <v>206</v>
      </c>
      <c r="C42" s="950"/>
      <c r="D42" s="120"/>
      <c r="E42" s="120"/>
      <c r="F42" s="120"/>
      <c r="G42" s="120"/>
      <c r="H42" s="120"/>
      <c r="I42" s="120"/>
      <c r="J42" s="120"/>
      <c r="K42" s="120"/>
      <c r="L42" s="48" t="s">
        <v>27</v>
      </c>
      <c r="N42" s="23">
        <f>'[2]FAO '!N34</f>
        <v>50000</v>
      </c>
      <c r="O42" s="22">
        <f>SUM(N42:N42)</f>
        <v>50000</v>
      </c>
      <c r="P42" s="23">
        <f>'[2]FAO '!P34</f>
        <v>50000</v>
      </c>
    </row>
    <row r="43" spans="1:16" ht="31.5" x14ac:dyDescent="0.25">
      <c r="A43" s="1116"/>
      <c r="B43" s="211" t="s">
        <v>207</v>
      </c>
      <c r="C43" s="19"/>
      <c r="D43" s="19"/>
      <c r="E43" s="19"/>
      <c r="F43" s="19"/>
      <c r="G43" s="19"/>
      <c r="H43" s="19"/>
      <c r="I43" s="19"/>
      <c r="J43" s="19"/>
      <c r="K43" s="19"/>
      <c r="L43" s="47" t="s">
        <v>25</v>
      </c>
      <c r="N43" s="23">
        <f>'[2]FAO '!N35</f>
        <v>163294</v>
      </c>
      <c r="O43" s="22">
        <f>SUM(N43:N43)</f>
        <v>163294</v>
      </c>
      <c r="P43" s="23">
        <f>'[2]FAO '!P35</f>
        <v>163294</v>
      </c>
    </row>
    <row r="44" spans="1:16" ht="15.75" x14ac:dyDescent="0.25">
      <c r="A44" s="20" t="s">
        <v>6</v>
      </c>
      <c r="B44" s="19"/>
      <c r="C44" s="19"/>
      <c r="D44" s="19"/>
      <c r="E44" s="19"/>
      <c r="F44" s="19"/>
      <c r="G44" s="19"/>
      <c r="H44" s="19"/>
      <c r="I44" s="19"/>
      <c r="J44" s="19"/>
      <c r="K44" s="19"/>
      <c r="L44" s="17"/>
      <c r="N44" s="17">
        <f>SUM(N39:N43)</f>
        <v>4435000</v>
      </c>
      <c r="O44" s="17">
        <f>SUM(O39:O43)</f>
        <v>4435000</v>
      </c>
      <c r="P44" s="17">
        <f>SUM(P39:P43)</f>
        <v>4490000</v>
      </c>
    </row>
    <row r="45" spans="1:16" ht="15.75" x14ac:dyDescent="0.25">
      <c r="A45" s="20" t="s">
        <v>5</v>
      </c>
      <c r="B45" s="19"/>
      <c r="C45" s="19"/>
      <c r="D45" s="19"/>
      <c r="E45" s="19"/>
      <c r="F45" s="19"/>
      <c r="G45" s="19"/>
      <c r="H45" s="19"/>
      <c r="I45" s="19"/>
      <c r="J45" s="19"/>
      <c r="K45" s="19"/>
      <c r="L45" s="17"/>
      <c r="N45" s="17">
        <f>0.07*N44</f>
        <v>310450.00000000006</v>
      </c>
      <c r="O45" s="17">
        <f>0.07*O44</f>
        <v>310450.00000000006</v>
      </c>
      <c r="P45" s="17">
        <f>0.07*P44</f>
        <v>314300.00000000006</v>
      </c>
    </row>
    <row r="46" spans="1:16" ht="15.75" x14ac:dyDescent="0.25">
      <c r="A46" s="15" t="s">
        <v>87</v>
      </c>
      <c r="B46" s="14"/>
      <c r="C46" s="14"/>
      <c r="D46" s="14"/>
      <c r="E46" s="14"/>
      <c r="F46" s="14"/>
      <c r="G46" s="14"/>
      <c r="H46" s="14"/>
      <c r="I46" s="14"/>
      <c r="J46" s="14"/>
      <c r="K46" s="14"/>
      <c r="L46" s="13"/>
      <c r="N46" s="91">
        <f>N45+N44</f>
        <v>4745450</v>
      </c>
      <c r="O46" s="91">
        <f>O45+O44</f>
        <v>4745450</v>
      </c>
      <c r="P46" s="91">
        <f>P45+P44</f>
        <v>4804300</v>
      </c>
    </row>
    <row r="47" spans="1:16" ht="47.25" customHeight="1" x14ac:dyDescent="0.25">
      <c r="A47" s="93"/>
      <c r="B47" s="1117" t="s">
        <v>95</v>
      </c>
      <c r="C47" s="948" t="s">
        <v>50</v>
      </c>
      <c r="D47" s="19"/>
      <c r="E47" s="19"/>
      <c r="F47" s="58"/>
      <c r="G47" s="58"/>
      <c r="H47" s="58"/>
      <c r="I47" s="58"/>
      <c r="J47" s="58"/>
      <c r="K47" s="19"/>
      <c r="L47" s="26" t="s">
        <v>32</v>
      </c>
      <c r="N47" s="26">
        <v>55000</v>
      </c>
      <c r="O47" s="26">
        <f>SUM(N47:N47)</f>
        <v>55000</v>
      </c>
      <c r="P47" s="226"/>
    </row>
    <row r="48" spans="1:16" ht="15.75" x14ac:dyDescent="0.25">
      <c r="A48" s="93" t="s">
        <v>208</v>
      </c>
      <c r="B48" s="1118"/>
      <c r="C48" s="949"/>
      <c r="D48" s="19"/>
      <c r="E48" s="19"/>
      <c r="F48" s="58"/>
      <c r="G48" s="58"/>
      <c r="H48" s="58"/>
      <c r="I48" s="58"/>
      <c r="J48" s="58"/>
      <c r="K48" s="19"/>
      <c r="L48" s="22" t="s">
        <v>30</v>
      </c>
      <c r="N48" s="22">
        <v>30000</v>
      </c>
      <c r="O48" s="22">
        <f>SUM(N48:N48)</f>
        <v>30000</v>
      </c>
      <c r="P48" s="235">
        <v>0</v>
      </c>
    </row>
    <row r="49" spans="1:16" ht="31.5" x14ac:dyDescent="0.25">
      <c r="A49" s="93"/>
      <c r="B49" s="1118"/>
      <c r="C49" s="949"/>
      <c r="D49" s="19"/>
      <c r="E49" s="19"/>
      <c r="F49" s="58"/>
      <c r="G49" s="58"/>
      <c r="H49" s="58"/>
      <c r="I49" s="58"/>
      <c r="J49" s="58"/>
      <c r="K49" s="19"/>
      <c r="L49" s="22" t="s">
        <v>28</v>
      </c>
      <c r="N49" s="22">
        <v>75000</v>
      </c>
      <c r="O49" s="22">
        <f>SUM(N49:N49)</f>
        <v>75000</v>
      </c>
      <c r="P49" s="235">
        <v>0</v>
      </c>
    </row>
    <row r="50" spans="1:16" ht="15.75" x14ac:dyDescent="0.25">
      <c r="A50" s="93"/>
      <c r="B50" s="1118"/>
      <c r="C50" s="949"/>
      <c r="D50" s="19"/>
      <c r="E50" s="19"/>
      <c r="F50" s="58"/>
      <c r="G50" s="58"/>
      <c r="H50" s="58"/>
      <c r="I50" s="58"/>
      <c r="J50" s="58"/>
      <c r="K50" s="19"/>
      <c r="L50" s="25" t="s">
        <v>27</v>
      </c>
      <c r="N50" s="25">
        <v>0</v>
      </c>
      <c r="O50" s="22">
        <f>SUM(N50:N50)</f>
        <v>0</v>
      </c>
      <c r="P50" s="68">
        <v>0</v>
      </c>
    </row>
    <row r="51" spans="1:16" ht="16.5" customHeight="1" x14ac:dyDescent="0.25">
      <c r="A51" s="92"/>
      <c r="B51" s="1119"/>
      <c r="C51" s="950"/>
      <c r="D51" s="19"/>
      <c r="E51" s="19"/>
      <c r="F51" s="58"/>
      <c r="G51" s="58"/>
      <c r="H51" s="58"/>
      <c r="I51" s="58"/>
      <c r="J51" s="58"/>
      <c r="K51" s="19"/>
      <c r="L51" s="23" t="s">
        <v>25</v>
      </c>
      <c r="N51" s="23">
        <v>0</v>
      </c>
      <c r="O51" s="22">
        <f>SUM(N51:N51)</f>
        <v>0</v>
      </c>
      <c r="P51" s="225">
        <v>0</v>
      </c>
    </row>
    <row r="52" spans="1:16" ht="15.75" x14ac:dyDescent="0.25">
      <c r="A52" s="20" t="s">
        <v>6</v>
      </c>
      <c r="B52" s="19"/>
      <c r="C52" s="19"/>
      <c r="D52" s="19"/>
      <c r="E52" s="19"/>
      <c r="F52" s="19"/>
      <c r="G52" s="19"/>
      <c r="H52" s="19"/>
      <c r="I52" s="19"/>
      <c r="J52" s="19"/>
      <c r="K52" s="19"/>
      <c r="L52" s="17"/>
      <c r="M52" s="17" t="e">
        <f>SUM('Secretariat work plan 2014 '!#REF!)</f>
        <v>#REF!</v>
      </c>
      <c r="N52" s="17">
        <f>SUM(N47:N51)</f>
        <v>160000</v>
      </c>
      <c r="O52" s="17">
        <f>SUM(O47:O51)</f>
        <v>160000</v>
      </c>
      <c r="P52" s="56">
        <f>SUM(P47:P51)</f>
        <v>0</v>
      </c>
    </row>
    <row r="53" spans="1:16" ht="15.75" x14ac:dyDescent="0.25">
      <c r="A53" s="20" t="s">
        <v>5</v>
      </c>
      <c r="B53" s="19"/>
      <c r="C53" s="19"/>
      <c r="D53" s="19"/>
      <c r="E53" s="19"/>
      <c r="F53" s="19"/>
      <c r="G53" s="19"/>
      <c r="H53" s="19"/>
      <c r="I53" s="19"/>
      <c r="J53" s="19"/>
      <c r="K53" s="19"/>
      <c r="L53" s="17"/>
      <c r="M53" s="17" t="e">
        <f>0.07*M52</f>
        <v>#REF!</v>
      </c>
      <c r="N53" s="17">
        <f>0.07*N52</f>
        <v>11200.000000000002</v>
      </c>
      <c r="O53" s="17">
        <f>0.07*O52</f>
        <v>11200.000000000002</v>
      </c>
      <c r="P53" s="56">
        <f>0.07*P52</f>
        <v>0</v>
      </c>
    </row>
    <row r="54" spans="1:16" ht="15.75" x14ac:dyDescent="0.25">
      <c r="A54" s="15" t="s">
        <v>87</v>
      </c>
      <c r="B54" s="14"/>
      <c r="C54" s="14"/>
      <c r="D54" s="14"/>
      <c r="E54" s="14"/>
      <c r="F54" s="14"/>
      <c r="G54" s="14"/>
      <c r="H54" s="14"/>
      <c r="I54" s="14"/>
      <c r="J54" s="14"/>
      <c r="K54" s="14"/>
      <c r="L54" s="13"/>
      <c r="M54" s="91" t="e">
        <f>M53+M52</f>
        <v>#REF!</v>
      </c>
      <c r="N54" s="91">
        <f>N53+N52</f>
        <v>171200</v>
      </c>
      <c r="O54" s="91">
        <f>O53+O52</f>
        <v>171200</v>
      </c>
      <c r="P54" s="91">
        <f>P53+P52</f>
        <v>0</v>
      </c>
    </row>
    <row r="55" spans="1:16" ht="15.75" x14ac:dyDescent="0.25">
      <c r="A55" s="35" t="s">
        <v>94</v>
      </c>
      <c r="B55" s="34"/>
      <c r="C55" s="34"/>
      <c r="D55" s="34"/>
      <c r="E55" s="34"/>
      <c r="F55" s="34"/>
      <c r="G55" s="34"/>
      <c r="H55" s="34"/>
      <c r="I55" s="34"/>
      <c r="J55" s="34"/>
      <c r="K55" s="34"/>
      <c r="L55" s="33"/>
      <c r="M55" s="32" t="e">
        <f>M54+'Secretariat work plan 2014 '!#REF!+M38+M30+M22+M14</f>
        <v>#REF!</v>
      </c>
      <c r="N55" s="32">
        <f>N54+N46+N38+N30+N22+N14</f>
        <v>6976270.4229999995</v>
      </c>
      <c r="O55" s="32">
        <f>O54+O46+O38+O30+O22+O14</f>
        <v>8896790.845999999</v>
      </c>
      <c r="P55" s="32">
        <f>P54+P46+P38+P30+P22+P14</f>
        <v>7112932.3209999995</v>
      </c>
    </row>
    <row r="56" spans="1:16" ht="23.25" customHeight="1" x14ac:dyDescent="0.25">
      <c r="A56" s="1076" t="s">
        <v>93</v>
      </c>
      <c r="B56" s="1077"/>
      <c r="C56" s="67"/>
      <c r="D56" s="67"/>
      <c r="E56" s="67"/>
      <c r="F56" s="67"/>
      <c r="G56" s="67"/>
      <c r="H56" s="67"/>
      <c r="I56" s="67"/>
      <c r="J56" s="67"/>
      <c r="K56" s="67"/>
      <c r="L56" s="61"/>
      <c r="M56" s="61"/>
      <c r="N56" s="61"/>
      <c r="O56" s="61"/>
      <c r="P56" s="61"/>
    </row>
    <row r="57" spans="1:16" ht="33" customHeight="1" x14ac:dyDescent="0.25">
      <c r="A57" s="1103" t="s">
        <v>92</v>
      </c>
      <c r="B57" s="1104"/>
      <c r="C57" s="90"/>
      <c r="D57" s="970" t="s">
        <v>23</v>
      </c>
      <c r="E57" s="970"/>
      <c r="F57" s="970"/>
      <c r="G57" s="970"/>
      <c r="H57" s="970" t="s">
        <v>22</v>
      </c>
      <c r="I57" s="970"/>
      <c r="J57" s="970"/>
      <c r="K57" s="970"/>
      <c r="L57" s="970" t="s">
        <v>198</v>
      </c>
      <c r="M57" s="970"/>
      <c r="N57" s="970"/>
      <c r="O57" s="970"/>
      <c r="P57" s="970"/>
    </row>
    <row r="58" spans="1:16" ht="31.5" x14ac:dyDescent="0.25">
      <c r="A58" s="27" t="s">
        <v>21</v>
      </c>
      <c r="B58" s="27" t="s">
        <v>20</v>
      </c>
      <c r="C58" s="27" t="s">
        <v>24</v>
      </c>
      <c r="D58" s="27" t="s">
        <v>19</v>
      </c>
      <c r="E58" s="27" t="s">
        <v>18</v>
      </c>
      <c r="F58" s="27" t="s">
        <v>17</v>
      </c>
      <c r="G58" s="27" t="s">
        <v>16</v>
      </c>
      <c r="H58" s="27" t="s">
        <v>19</v>
      </c>
      <c r="I58" s="27" t="s">
        <v>18</v>
      </c>
      <c r="J58" s="27" t="s">
        <v>17</v>
      </c>
      <c r="K58" s="27" t="s">
        <v>16</v>
      </c>
      <c r="L58" s="85" t="s">
        <v>15</v>
      </c>
      <c r="M58" s="27" t="s">
        <v>14</v>
      </c>
      <c r="N58" s="27" t="s">
        <v>13</v>
      </c>
      <c r="O58" s="233" t="s">
        <v>221</v>
      </c>
      <c r="P58" s="27" t="s">
        <v>230</v>
      </c>
    </row>
    <row r="59" spans="1:16" ht="47.25" x14ac:dyDescent="0.25">
      <c r="A59" s="1055" t="s">
        <v>91</v>
      </c>
      <c r="B59" s="88" t="s">
        <v>90</v>
      </c>
      <c r="C59" s="948" t="s">
        <v>50</v>
      </c>
      <c r="D59" s="58"/>
      <c r="E59" s="58"/>
      <c r="F59" s="58"/>
      <c r="G59" s="58"/>
      <c r="H59" s="58"/>
      <c r="I59" s="58"/>
      <c r="J59" s="58"/>
      <c r="K59" s="58"/>
      <c r="L59" s="26" t="s">
        <v>32</v>
      </c>
      <c r="N59" s="26">
        <v>975663</v>
      </c>
      <c r="O59" s="26">
        <f>SUM(N59:N59)</f>
        <v>975663</v>
      </c>
      <c r="P59" s="26">
        <v>1015663</v>
      </c>
    </row>
    <row r="60" spans="1:16" ht="31.5" x14ac:dyDescent="0.25">
      <c r="A60" s="1056"/>
      <c r="B60" s="89" t="s">
        <v>89</v>
      </c>
      <c r="C60" s="949"/>
      <c r="D60" s="19"/>
      <c r="E60" s="19"/>
      <c r="F60" s="58"/>
      <c r="G60" s="58"/>
      <c r="H60" s="58"/>
      <c r="I60" s="58"/>
      <c r="J60" s="58"/>
      <c r="K60" s="58"/>
      <c r="L60" s="22" t="s">
        <v>30</v>
      </c>
      <c r="N60" s="22">
        <v>205000</v>
      </c>
      <c r="O60" s="22">
        <f>SUM(N60:N60)</f>
        <v>205000</v>
      </c>
      <c r="P60" s="22">
        <v>205000</v>
      </c>
    </row>
    <row r="61" spans="1:16" ht="31.5" x14ac:dyDescent="0.25">
      <c r="A61" s="1056"/>
      <c r="B61" s="88" t="s">
        <v>88</v>
      </c>
      <c r="C61" s="949"/>
      <c r="D61" s="58"/>
      <c r="E61" s="58"/>
      <c r="F61" s="58"/>
      <c r="G61" s="58"/>
      <c r="H61" s="58"/>
      <c r="I61" s="58"/>
      <c r="J61" s="58"/>
      <c r="K61" s="58"/>
      <c r="L61" s="22" t="s">
        <v>28</v>
      </c>
      <c r="N61" s="22">
        <v>215000</v>
      </c>
      <c r="O61" s="22">
        <f>SUM(N61:N61)</f>
        <v>215000</v>
      </c>
      <c r="P61" s="22">
        <v>180000</v>
      </c>
    </row>
    <row r="62" spans="1:16" ht="31.5" x14ac:dyDescent="0.25">
      <c r="A62" s="1057"/>
      <c r="B62" s="19"/>
      <c r="C62" s="950"/>
      <c r="D62" s="19"/>
      <c r="E62" s="19"/>
      <c r="F62" s="19"/>
      <c r="G62" s="19"/>
      <c r="H62" s="19"/>
      <c r="I62" s="19"/>
      <c r="J62" s="19"/>
      <c r="K62" s="19"/>
      <c r="L62" s="23" t="s">
        <v>25</v>
      </c>
      <c r="N62" s="23">
        <v>7400</v>
      </c>
      <c r="O62" s="23">
        <f>SUM(N62:N62)</f>
        <v>7400</v>
      </c>
      <c r="P62" s="23">
        <v>7400</v>
      </c>
    </row>
    <row r="63" spans="1:16" ht="15.75" x14ac:dyDescent="0.25">
      <c r="A63" s="20" t="s">
        <v>6</v>
      </c>
      <c r="B63" s="19"/>
      <c r="C63" s="19"/>
      <c r="D63" s="19"/>
      <c r="E63" s="19"/>
      <c r="F63" s="19"/>
      <c r="G63" s="19"/>
      <c r="H63" s="19"/>
      <c r="I63" s="19"/>
      <c r="J63" s="19"/>
      <c r="K63" s="19"/>
      <c r="L63" s="17"/>
      <c r="M63" s="17" t="e">
        <f>SUM('Secretariat work plan 2014 '!#REF!)</f>
        <v>#REF!</v>
      </c>
      <c r="N63" s="17">
        <f>SUM(N59:N62)</f>
        <v>1403063</v>
      </c>
      <c r="O63" s="17">
        <f>SUM(O59:O62)</f>
        <v>1403063</v>
      </c>
      <c r="P63" s="17">
        <f>SUM(P59:P62)</f>
        <v>1408063</v>
      </c>
    </row>
    <row r="64" spans="1:16" ht="15.75" x14ac:dyDescent="0.25">
      <c r="A64" s="20" t="s">
        <v>5</v>
      </c>
      <c r="B64" s="19"/>
      <c r="C64" s="19"/>
      <c r="D64" s="19"/>
      <c r="E64" s="19"/>
      <c r="F64" s="19"/>
      <c r="G64" s="19"/>
      <c r="H64" s="19"/>
      <c r="I64" s="19"/>
      <c r="J64" s="19"/>
      <c r="K64" s="19"/>
      <c r="L64" s="17"/>
      <c r="M64" s="17" t="e">
        <f>M63*0.07</f>
        <v>#REF!</v>
      </c>
      <c r="N64" s="17">
        <f>N63*0.07</f>
        <v>98214.41</v>
      </c>
      <c r="O64" s="17">
        <f>O63*0.07</f>
        <v>98214.41</v>
      </c>
      <c r="P64" s="17">
        <f>P63*0.07</f>
        <v>98564.41</v>
      </c>
    </row>
    <row r="65" spans="1:16" ht="15.75" x14ac:dyDescent="0.25">
      <c r="A65" s="15" t="s">
        <v>87</v>
      </c>
      <c r="B65" s="14"/>
      <c r="C65" s="14"/>
      <c r="D65" s="14"/>
      <c r="E65" s="14"/>
      <c r="F65" s="14"/>
      <c r="G65" s="14"/>
      <c r="H65" s="14"/>
      <c r="I65" s="14"/>
      <c r="J65" s="14"/>
      <c r="K65" s="14"/>
      <c r="L65" s="13"/>
      <c r="M65" s="91" t="e">
        <f>M64+M63</f>
        <v>#REF!</v>
      </c>
      <c r="N65" s="91">
        <f>N64+N63</f>
        <v>1501277.41</v>
      </c>
      <c r="O65" s="91">
        <f>O64+O63</f>
        <v>1501277.41</v>
      </c>
      <c r="P65" s="91">
        <f>P64+P63</f>
        <v>1506627.41</v>
      </c>
    </row>
    <row r="66" spans="1:16" ht="47.25" x14ac:dyDescent="0.25">
      <c r="A66" s="1065" t="s">
        <v>209</v>
      </c>
      <c r="B66" s="212" t="s">
        <v>210</v>
      </c>
      <c r="C66" s="1072" t="s">
        <v>100</v>
      </c>
      <c r="D66" s="120"/>
      <c r="E66" s="120"/>
      <c r="F66" s="120"/>
      <c r="G66" s="120"/>
      <c r="H66" s="120"/>
      <c r="I66" s="120"/>
      <c r="J66" s="120"/>
      <c r="K66" s="120"/>
      <c r="L66" s="130" t="s">
        <v>32</v>
      </c>
      <c r="N66" s="130">
        <f>'[2]FAO '!N43</f>
        <v>178134.5</v>
      </c>
      <c r="O66" s="106">
        <f>SUM(N66:N66)</f>
        <v>178134.5</v>
      </c>
      <c r="P66" s="106">
        <f>'[2]FAO '!P43</f>
        <v>178134.5</v>
      </c>
    </row>
    <row r="67" spans="1:16" ht="15.75" x14ac:dyDescent="0.25">
      <c r="A67" s="1065"/>
      <c r="B67" s="212" t="s">
        <v>211</v>
      </c>
      <c r="C67" s="1073"/>
      <c r="D67" s="120"/>
      <c r="E67" s="120"/>
      <c r="F67" s="120"/>
      <c r="G67" s="120"/>
      <c r="H67" s="120"/>
      <c r="I67" s="120"/>
      <c r="J67" s="120"/>
      <c r="K67" s="120"/>
      <c r="L67" s="131" t="s">
        <v>30</v>
      </c>
      <c r="N67" s="130">
        <f>'[2]FAO '!N44</f>
        <v>38500</v>
      </c>
      <c r="O67" s="106">
        <f>SUM(N67:N67)</f>
        <v>38500</v>
      </c>
      <c r="P67" s="106">
        <f>'[2]FAO '!P44</f>
        <v>38500</v>
      </c>
    </row>
    <row r="68" spans="1:16" ht="31.5" x14ac:dyDescent="0.25">
      <c r="A68" s="1065"/>
      <c r="B68" s="104"/>
      <c r="C68" s="1073"/>
      <c r="D68" s="110"/>
      <c r="E68" s="110"/>
      <c r="F68" s="110"/>
      <c r="G68" s="110"/>
      <c r="H68" s="110"/>
      <c r="I68" s="110"/>
      <c r="J68" s="110"/>
      <c r="K68" s="110"/>
      <c r="L68" s="131" t="s">
        <v>28</v>
      </c>
      <c r="N68" s="130">
        <f>'[2]FAO '!N45</f>
        <v>71000</v>
      </c>
      <c r="O68" s="106">
        <f>SUM(N68:N68)</f>
        <v>71000</v>
      </c>
      <c r="P68" s="106">
        <f>'[2]FAO '!P45</f>
        <v>71000</v>
      </c>
    </row>
    <row r="69" spans="1:16" ht="15.75" x14ac:dyDescent="0.25">
      <c r="A69" s="1065"/>
      <c r="B69" s="104"/>
      <c r="C69" s="1073"/>
      <c r="D69" s="110"/>
      <c r="E69" s="110"/>
      <c r="F69" s="110"/>
      <c r="G69" s="110"/>
      <c r="H69" s="110"/>
      <c r="I69" s="110"/>
      <c r="J69" s="110"/>
      <c r="K69" s="110"/>
      <c r="L69" s="132" t="s">
        <v>27</v>
      </c>
      <c r="N69" s="130">
        <f>'[2]FAO '!N46</f>
        <v>2500</v>
      </c>
      <c r="O69" s="106">
        <f>SUM(N69:N69)</f>
        <v>2500</v>
      </c>
      <c r="P69" s="106">
        <f>'[2]FAO '!P46</f>
        <v>2500</v>
      </c>
    </row>
    <row r="70" spans="1:16" ht="31.5" x14ac:dyDescent="0.25">
      <c r="A70" s="1065"/>
      <c r="B70" s="104"/>
      <c r="C70" s="1074"/>
      <c r="D70" s="110"/>
      <c r="E70" s="110"/>
      <c r="F70" s="110"/>
      <c r="G70" s="110"/>
      <c r="H70" s="110"/>
      <c r="I70" s="110"/>
      <c r="J70" s="110"/>
      <c r="K70" s="110"/>
      <c r="L70" s="213" t="s">
        <v>25</v>
      </c>
      <c r="N70" s="130">
        <f>'[2]FAO '!N47</f>
        <v>9865.5</v>
      </c>
      <c r="O70" s="106">
        <f>SUM(N70:N70)</f>
        <v>9865.5</v>
      </c>
      <c r="P70" s="106">
        <f>'[2]FAO '!P47</f>
        <v>9865.5</v>
      </c>
    </row>
    <row r="71" spans="1:16" ht="15.75" x14ac:dyDescent="0.25">
      <c r="A71" s="133" t="s">
        <v>6</v>
      </c>
      <c r="B71" s="110"/>
      <c r="C71" s="110"/>
      <c r="D71" s="110"/>
      <c r="E71" s="110"/>
      <c r="F71" s="110"/>
      <c r="G71" s="110"/>
      <c r="H71" s="110"/>
      <c r="I71" s="110"/>
      <c r="J71" s="110"/>
      <c r="K71" s="110"/>
      <c r="L71" s="111"/>
      <c r="M71" s="111" t="e">
        <f>SUM('Secretariat work plan 2014 '!#REF!)</f>
        <v>#REF!</v>
      </c>
      <c r="N71" s="111">
        <f>SUM(N66:N70)</f>
        <v>300000</v>
      </c>
      <c r="O71" s="111">
        <f>SUM(O66:O70)</f>
        <v>300000</v>
      </c>
      <c r="P71" s="111">
        <f>SUM(P66:P70)</f>
        <v>300000</v>
      </c>
    </row>
    <row r="72" spans="1:16" ht="15.75" x14ac:dyDescent="0.25">
      <c r="A72" s="105" t="s">
        <v>5</v>
      </c>
      <c r="B72" s="104"/>
      <c r="C72" s="104"/>
      <c r="D72" s="104"/>
      <c r="E72" s="104"/>
      <c r="F72" s="104"/>
      <c r="G72" s="104"/>
      <c r="H72" s="104"/>
      <c r="I72" s="104"/>
      <c r="J72" s="104"/>
      <c r="K72" s="104"/>
      <c r="L72" s="106"/>
      <c r="M72" s="106" t="e">
        <f>0.07*M71</f>
        <v>#REF!</v>
      </c>
      <c r="N72" s="106">
        <f>0.07*N71</f>
        <v>21000.000000000004</v>
      </c>
      <c r="O72" s="106">
        <f>0.07*O71</f>
        <v>21000.000000000004</v>
      </c>
      <c r="P72" s="106">
        <f>0.07*P71</f>
        <v>21000.000000000004</v>
      </c>
    </row>
    <row r="73" spans="1:16" ht="15.75" x14ac:dyDescent="0.25">
      <c r="A73" s="128" t="s">
        <v>87</v>
      </c>
      <c r="B73" s="129"/>
      <c r="C73" s="129"/>
      <c r="D73" s="129"/>
      <c r="E73" s="129"/>
      <c r="F73" s="129"/>
      <c r="G73" s="129"/>
      <c r="H73" s="129"/>
      <c r="I73" s="129"/>
      <c r="J73" s="129"/>
      <c r="K73" s="129"/>
      <c r="L73" s="134"/>
      <c r="M73" s="135" t="e">
        <f>M72+M71</f>
        <v>#REF!</v>
      </c>
      <c r="N73" s="135">
        <f>N72+N71</f>
        <v>321000</v>
      </c>
      <c r="O73" s="135">
        <f>O72+O71</f>
        <v>321000</v>
      </c>
      <c r="P73" s="135">
        <f>P72+P71</f>
        <v>321000</v>
      </c>
    </row>
    <row r="74" spans="1:16" ht="47.25" x14ac:dyDescent="0.25">
      <c r="A74" s="1055" t="s">
        <v>86</v>
      </c>
      <c r="B74" s="88" t="s">
        <v>112</v>
      </c>
      <c r="C74" s="948" t="s">
        <v>50</v>
      </c>
      <c r="D74" s="19"/>
      <c r="E74" s="58"/>
      <c r="F74" s="58"/>
      <c r="G74" s="19"/>
      <c r="H74" s="19"/>
      <c r="I74" s="19"/>
      <c r="J74" s="19"/>
      <c r="K74" s="19"/>
      <c r="L74" s="26" t="s">
        <v>32</v>
      </c>
      <c r="N74" s="26">
        <v>306373</v>
      </c>
      <c r="O74" s="26">
        <f>SUM(N74:N74)</f>
        <v>306373</v>
      </c>
      <c r="P74" s="26">
        <v>431373</v>
      </c>
    </row>
    <row r="75" spans="1:16" ht="36.75" customHeight="1" x14ac:dyDescent="0.25">
      <c r="A75" s="1056"/>
      <c r="B75" s="88" t="s">
        <v>113</v>
      </c>
      <c r="C75" s="949"/>
      <c r="D75" s="19"/>
      <c r="E75" s="19"/>
      <c r="F75" s="58"/>
      <c r="G75" s="58"/>
      <c r="H75" s="58"/>
      <c r="I75" s="58"/>
      <c r="J75" s="19"/>
      <c r="K75" s="19"/>
      <c r="L75" s="22" t="s">
        <v>30</v>
      </c>
      <c r="N75" s="22">
        <v>0</v>
      </c>
      <c r="O75" s="22">
        <f>SUM(N75:N75)</f>
        <v>0</v>
      </c>
      <c r="P75" s="22">
        <v>0</v>
      </c>
    </row>
    <row r="76" spans="1:16" ht="31.5" x14ac:dyDescent="0.25">
      <c r="A76" s="1056"/>
      <c r="B76" s="88" t="s">
        <v>114</v>
      </c>
      <c r="C76" s="949"/>
      <c r="D76" s="19"/>
      <c r="E76" s="87"/>
      <c r="F76" s="58"/>
      <c r="G76" s="58"/>
      <c r="H76" s="58"/>
      <c r="I76" s="58"/>
      <c r="J76" s="58"/>
      <c r="K76" s="58"/>
      <c r="L76" s="22" t="s">
        <v>28</v>
      </c>
      <c r="N76" s="22">
        <v>50000</v>
      </c>
      <c r="O76" s="22">
        <f>SUM(N76:N76)</f>
        <v>50000</v>
      </c>
      <c r="P76" s="22">
        <v>60001</v>
      </c>
    </row>
    <row r="77" spans="1:16" ht="31.5" x14ac:dyDescent="0.25">
      <c r="A77" s="1056"/>
      <c r="B77" s="88" t="s">
        <v>88</v>
      </c>
      <c r="C77" s="949"/>
      <c r="D77" s="58"/>
      <c r="E77" s="58"/>
      <c r="F77" s="58"/>
      <c r="G77" s="58"/>
      <c r="H77" s="58"/>
      <c r="I77" s="58"/>
      <c r="J77" s="58"/>
      <c r="K77" s="58"/>
      <c r="L77" s="25" t="s">
        <v>27</v>
      </c>
      <c r="N77" s="25">
        <v>0</v>
      </c>
      <c r="O77" s="25">
        <f>SUM(N77:N77)</f>
        <v>0</v>
      </c>
      <c r="P77" s="25">
        <v>0</v>
      </c>
    </row>
    <row r="78" spans="1:16" ht="31.5" x14ac:dyDescent="0.25">
      <c r="A78" s="1057"/>
      <c r="B78" s="19"/>
      <c r="C78" s="950"/>
      <c r="D78" s="19"/>
      <c r="E78" s="19"/>
      <c r="F78" s="19"/>
      <c r="G78" s="19"/>
      <c r="H78" s="19"/>
      <c r="I78" s="19"/>
      <c r="J78" s="19"/>
      <c r="K78" s="19"/>
      <c r="L78" s="23" t="s">
        <v>25</v>
      </c>
      <c r="N78" s="23">
        <v>7400</v>
      </c>
      <c r="O78" s="23">
        <f>SUM(N78:N78)</f>
        <v>7400</v>
      </c>
      <c r="P78" s="23">
        <v>7400</v>
      </c>
    </row>
    <row r="79" spans="1:16" ht="15.75" x14ac:dyDescent="0.25">
      <c r="A79" s="20" t="s">
        <v>6</v>
      </c>
      <c r="B79" s="19"/>
      <c r="C79" s="19"/>
      <c r="D79" s="19"/>
      <c r="E79" s="19"/>
      <c r="F79" s="19"/>
      <c r="G79" s="19"/>
      <c r="H79" s="19"/>
      <c r="I79" s="19"/>
      <c r="J79" s="19"/>
      <c r="K79" s="19"/>
      <c r="L79" s="17"/>
      <c r="M79" s="17" t="e">
        <f>SUM('Secretariat work plan 2014 '!#REF!)</f>
        <v>#REF!</v>
      </c>
      <c r="N79" s="17">
        <f>SUM(N74:N78)</f>
        <v>363773</v>
      </c>
      <c r="O79" s="17">
        <f>SUM(O74:O78)</f>
        <v>363773</v>
      </c>
      <c r="P79" s="17">
        <f>SUM(P74:P78)</f>
        <v>498774</v>
      </c>
    </row>
    <row r="80" spans="1:16" ht="15.75" x14ac:dyDescent="0.25">
      <c r="A80" s="20" t="s">
        <v>5</v>
      </c>
      <c r="B80" s="19"/>
      <c r="C80" s="19"/>
      <c r="D80" s="19"/>
      <c r="E80" s="19"/>
      <c r="F80" s="19"/>
      <c r="G80" s="19"/>
      <c r="H80" s="19"/>
      <c r="I80" s="19"/>
      <c r="J80" s="19"/>
      <c r="K80" s="19"/>
      <c r="L80" s="17"/>
      <c r="M80" s="17" t="e">
        <f>0.07*M79</f>
        <v>#REF!</v>
      </c>
      <c r="N80" s="17">
        <f>0.07*N79</f>
        <v>25464.110000000004</v>
      </c>
      <c r="O80" s="17">
        <f>0.07*O79</f>
        <v>25464.110000000004</v>
      </c>
      <c r="P80" s="17">
        <f>0.07*P79</f>
        <v>34914.18</v>
      </c>
    </row>
    <row r="81" spans="1:16" ht="15.75" x14ac:dyDescent="0.25">
      <c r="A81" s="15" t="s">
        <v>84</v>
      </c>
      <c r="B81" s="14"/>
      <c r="C81" s="14"/>
      <c r="D81" s="14"/>
      <c r="E81" s="14"/>
      <c r="F81" s="14"/>
      <c r="G81" s="14"/>
      <c r="H81" s="14"/>
      <c r="I81" s="14"/>
      <c r="J81" s="14"/>
      <c r="K81" s="14"/>
      <c r="L81" s="13"/>
      <c r="M81" s="91" t="e">
        <f>M80+M79</f>
        <v>#REF!</v>
      </c>
      <c r="N81" s="91">
        <f>N80+N79</f>
        <v>389237.11</v>
      </c>
      <c r="O81" s="91">
        <f>O80+O79</f>
        <v>389237.11</v>
      </c>
      <c r="P81" s="91">
        <f>P80+P79</f>
        <v>533688.18000000005</v>
      </c>
    </row>
    <row r="82" spans="1:16" ht="45.75" customHeight="1" x14ac:dyDescent="0.25">
      <c r="A82" s="1105" t="s">
        <v>212</v>
      </c>
      <c r="B82" s="107" t="s">
        <v>213</v>
      </c>
      <c r="C82" s="1108" t="s">
        <v>100</v>
      </c>
      <c r="D82" s="120"/>
      <c r="E82" s="120"/>
      <c r="F82" s="120"/>
      <c r="G82" s="120"/>
      <c r="H82" s="120"/>
      <c r="I82" s="120"/>
      <c r="J82" s="120"/>
      <c r="K82" s="120"/>
      <c r="L82" s="53" t="s">
        <v>32</v>
      </c>
      <c r="N82" s="109" t="e">
        <f>'Secretariat work plan 2014 '!#REF!</f>
        <v>#REF!</v>
      </c>
      <c r="O82" s="109" t="e">
        <f>SUM(N82:N82)</f>
        <v>#REF!</v>
      </c>
      <c r="P82" s="109" t="e">
        <f>N82</f>
        <v>#REF!</v>
      </c>
    </row>
    <row r="83" spans="1:16" ht="15.75" x14ac:dyDescent="0.25">
      <c r="A83" s="1106"/>
      <c r="B83" s="107"/>
      <c r="C83" s="1109"/>
      <c r="D83" s="107"/>
      <c r="E83" s="107"/>
      <c r="F83" s="107"/>
      <c r="G83" s="107"/>
      <c r="H83" s="107"/>
      <c r="I83" s="107"/>
      <c r="J83" s="107"/>
      <c r="K83" s="107"/>
      <c r="L83" s="131" t="s">
        <v>30</v>
      </c>
      <c r="N83" s="109" t="e">
        <f>'Secretariat work plan 2014 '!#REF!</f>
        <v>#REF!</v>
      </c>
      <c r="O83" s="109" t="e">
        <f>SUM(N83:N83)</f>
        <v>#REF!</v>
      </c>
      <c r="P83" s="109" t="e">
        <f>N83</f>
        <v>#REF!</v>
      </c>
    </row>
    <row r="84" spans="1:16" ht="31.5" x14ac:dyDescent="0.25">
      <c r="A84" s="1106"/>
      <c r="B84" s="107"/>
      <c r="C84" s="1109"/>
      <c r="D84" s="107"/>
      <c r="E84" s="107"/>
      <c r="F84" s="107"/>
      <c r="G84" s="107"/>
      <c r="H84" s="107"/>
      <c r="I84" s="107"/>
      <c r="J84" s="107"/>
      <c r="K84" s="107"/>
      <c r="L84" s="131" t="s">
        <v>28</v>
      </c>
      <c r="N84" s="109">
        <f>117434-15000</f>
        <v>102434</v>
      </c>
      <c r="O84" s="109">
        <f>SUM(N84:N84)</f>
        <v>102434</v>
      </c>
      <c r="P84" s="109">
        <f>N84</f>
        <v>102434</v>
      </c>
    </row>
    <row r="85" spans="1:16" ht="15.75" x14ac:dyDescent="0.25">
      <c r="A85" s="1106"/>
      <c r="B85" s="107"/>
      <c r="C85" s="1109"/>
      <c r="D85" s="107"/>
      <c r="E85" s="107"/>
      <c r="F85" s="107"/>
      <c r="G85" s="107"/>
      <c r="H85" s="107"/>
      <c r="I85" s="107"/>
      <c r="J85" s="107"/>
      <c r="K85" s="107"/>
      <c r="L85" s="132" t="s">
        <v>27</v>
      </c>
      <c r="N85" s="109" t="e">
        <f>'Secretariat work plan 2014 '!#REF!</f>
        <v>#REF!</v>
      </c>
      <c r="O85" s="109" t="e">
        <f>SUM(N85:N85)</f>
        <v>#REF!</v>
      </c>
      <c r="P85" s="109" t="e">
        <f>N85</f>
        <v>#REF!</v>
      </c>
    </row>
    <row r="86" spans="1:16" ht="31.5" x14ac:dyDescent="0.25">
      <c r="A86" s="1107"/>
      <c r="B86" s="107"/>
      <c r="C86" s="1110"/>
      <c r="D86" s="107"/>
      <c r="E86" s="107"/>
      <c r="F86" s="107"/>
      <c r="G86" s="107"/>
      <c r="H86" s="107"/>
      <c r="I86" s="107"/>
      <c r="J86" s="107"/>
      <c r="K86" s="107"/>
      <c r="L86" s="213" t="s">
        <v>25</v>
      </c>
      <c r="N86" s="109" t="e">
        <f>'Secretariat work plan 2014 '!#REF!</f>
        <v>#REF!</v>
      </c>
      <c r="O86" s="109" t="e">
        <f>SUM(N86:N86)</f>
        <v>#REF!</v>
      </c>
      <c r="P86" s="109" t="e">
        <f>N86</f>
        <v>#REF!</v>
      </c>
    </row>
    <row r="87" spans="1:16" ht="15.75" x14ac:dyDescent="0.25">
      <c r="A87" s="136" t="s">
        <v>6</v>
      </c>
      <c r="B87" s="110"/>
      <c r="C87" s="110"/>
      <c r="D87" s="110"/>
      <c r="E87" s="110"/>
      <c r="F87" s="110"/>
      <c r="G87" s="110"/>
      <c r="H87" s="110"/>
      <c r="I87" s="110"/>
      <c r="J87" s="110"/>
      <c r="K87" s="110"/>
      <c r="L87" s="111"/>
      <c r="M87" s="111" t="e">
        <f>SUM('Secretariat work plan 2014 '!#REF!)</f>
        <v>#REF!</v>
      </c>
      <c r="N87" s="111" t="e">
        <f>SUM(N82:N86)</f>
        <v>#REF!</v>
      </c>
      <c r="O87" s="111" t="e">
        <f>SUM(O82:O86)</f>
        <v>#REF!</v>
      </c>
      <c r="P87" s="111" t="e">
        <f>SUM(P82:P86)</f>
        <v>#REF!</v>
      </c>
    </row>
    <row r="88" spans="1:16" ht="15.75" x14ac:dyDescent="0.25">
      <c r="A88" s="108" t="s">
        <v>5</v>
      </c>
      <c r="B88" s="107"/>
      <c r="C88" s="107"/>
      <c r="D88" s="107"/>
      <c r="E88" s="107"/>
      <c r="F88" s="107"/>
      <c r="G88" s="107"/>
      <c r="H88" s="107"/>
      <c r="I88" s="107"/>
      <c r="J88" s="107"/>
      <c r="K88" s="107"/>
      <c r="L88" s="109"/>
      <c r="M88" s="109" t="e">
        <f>M87*0.07</f>
        <v>#REF!</v>
      </c>
      <c r="N88" s="109" t="e">
        <f>N87*0.07</f>
        <v>#REF!</v>
      </c>
      <c r="O88" s="109" t="e">
        <f>O87*0.07</f>
        <v>#REF!</v>
      </c>
      <c r="P88" s="109" t="e">
        <f>P87*0.07</f>
        <v>#REF!</v>
      </c>
    </row>
    <row r="89" spans="1:16" ht="15.75" x14ac:dyDescent="0.25">
      <c r="A89" s="128" t="s">
        <v>4</v>
      </c>
      <c r="B89" s="129"/>
      <c r="C89" s="129"/>
      <c r="D89" s="129"/>
      <c r="E89" s="129"/>
      <c r="F89" s="129"/>
      <c r="G89" s="129"/>
      <c r="H89" s="129"/>
      <c r="I89" s="129"/>
      <c r="J89" s="129"/>
      <c r="K89" s="129"/>
      <c r="L89" s="129"/>
      <c r="M89" s="137" t="e">
        <f>M87+M88</f>
        <v>#REF!</v>
      </c>
      <c r="N89" s="137" t="e">
        <f>N87+N88</f>
        <v>#REF!</v>
      </c>
      <c r="O89" s="137" t="e">
        <f>O87+O88</f>
        <v>#REF!</v>
      </c>
      <c r="P89" s="137" t="e">
        <f>P87+P88</f>
        <v>#REF!</v>
      </c>
    </row>
    <row r="90" spans="1:16" ht="47.25" x14ac:dyDescent="0.25">
      <c r="A90" s="1055" t="s">
        <v>85</v>
      </c>
      <c r="B90" s="88" t="s">
        <v>115</v>
      </c>
      <c r="C90" s="948" t="s">
        <v>50</v>
      </c>
      <c r="D90" s="19"/>
      <c r="E90" s="58"/>
      <c r="F90" s="58"/>
      <c r="G90" s="58"/>
      <c r="H90" s="58"/>
      <c r="I90" s="58"/>
      <c r="J90" s="58"/>
      <c r="K90" s="58"/>
      <c r="L90" s="26" t="s">
        <v>32</v>
      </c>
      <c r="N90" s="26">
        <v>409373</v>
      </c>
      <c r="O90" s="26">
        <f>SUM(N90:N90)</f>
        <v>409373</v>
      </c>
      <c r="P90" s="26">
        <v>409373</v>
      </c>
    </row>
    <row r="91" spans="1:16" ht="15.75" x14ac:dyDescent="0.25">
      <c r="A91" s="1056"/>
      <c r="B91" s="88" t="s">
        <v>116</v>
      </c>
      <c r="C91" s="949"/>
      <c r="D91" s="19"/>
      <c r="E91" s="19"/>
      <c r="F91" s="58"/>
      <c r="G91" s="58"/>
      <c r="H91" s="58"/>
      <c r="I91" s="58"/>
      <c r="J91" s="19"/>
      <c r="K91" s="19"/>
      <c r="L91" s="22" t="s">
        <v>30</v>
      </c>
      <c r="N91" s="22">
        <v>0</v>
      </c>
      <c r="O91" s="22">
        <f>SUM(N91:N91)</f>
        <v>0</v>
      </c>
      <c r="P91" s="22">
        <v>0</v>
      </c>
    </row>
    <row r="92" spans="1:16" ht="31.5" x14ac:dyDescent="0.25">
      <c r="A92" s="1056"/>
      <c r="B92" s="88" t="s">
        <v>117</v>
      </c>
      <c r="C92" s="949"/>
      <c r="D92" s="58"/>
      <c r="E92" s="58"/>
      <c r="F92" s="58"/>
      <c r="G92" s="58"/>
      <c r="H92" s="58"/>
      <c r="I92" s="58"/>
      <c r="J92" s="58"/>
      <c r="K92" s="58"/>
      <c r="L92" s="22" t="s">
        <v>28</v>
      </c>
      <c r="N92" s="22">
        <v>0</v>
      </c>
      <c r="O92" s="22">
        <f>SUM(N92:N92)</f>
        <v>0</v>
      </c>
      <c r="P92" s="22">
        <v>0</v>
      </c>
    </row>
    <row r="93" spans="1:16" ht="15.75" x14ac:dyDescent="0.25">
      <c r="A93" s="1056"/>
      <c r="B93" s="19"/>
      <c r="C93" s="949"/>
      <c r="D93" s="19"/>
      <c r="E93" s="19"/>
      <c r="F93" s="19"/>
      <c r="G93" s="19"/>
      <c r="H93" s="19"/>
      <c r="I93" s="19"/>
      <c r="J93" s="19"/>
      <c r="K93" s="19"/>
      <c r="L93" s="25" t="s">
        <v>27</v>
      </c>
      <c r="N93" s="25">
        <v>0</v>
      </c>
      <c r="O93" s="25">
        <f>SUM(N93:N93)</f>
        <v>0</v>
      </c>
      <c r="P93" s="25">
        <v>0</v>
      </c>
    </row>
    <row r="94" spans="1:16" ht="31.5" x14ac:dyDescent="0.25">
      <c r="A94" s="1057"/>
      <c r="B94" s="19"/>
      <c r="C94" s="950"/>
      <c r="D94" s="19"/>
      <c r="E94" s="19"/>
      <c r="F94" s="19"/>
      <c r="G94" s="19"/>
      <c r="H94" s="19"/>
      <c r="I94" s="19"/>
      <c r="J94" s="19"/>
      <c r="K94" s="19"/>
      <c r="L94" s="23" t="s">
        <v>25</v>
      </c>
      <c r="N94" s="23">
        <v>7400</v>
      </c>
      <c r="O94" s="23">
        <f>SUM(N94:N94)</f>
        <v>7400</v>
      </c>
      <c r="P94" s="23">
        <v>7400</v>
      </c>
    </row>
    <row r="95" spans="1:16" ht="15.75" x14ac:dyDescent="0.25">
      <c r="A95" s="20" t="s">
        <v>6</v>
      </c>
      <c r="B95" s="19"/>
      <c r="C95" s="19"/>
      <c r="D95" s="19"/>
      <c r="E95" s="19"/>
      <c r="F95" s="19"/>
      <c r="G95" s="19"/>
      <c r="H95" s="19"/>
      <c r="I95" s="19"/>
      <c r="J95" s="19"/>
      <c r="K95" s="19"/>
      <c r="L95" s="17"/>
      <c r="M95" s="17" t="e">
        <f>SUM('Secretariat work plan 2014 '!#REF!)</f>
        <v>#REF!</v>
      </c>
      <c r="N95" s="17">
        <f>SUM(N90:N94)</f>
        <v>416773</v>
      </c>
      <c r="O95" s="17">
        <f>SUM(O90:O94)</f>
        <v>416773</v>
      </c>
      <c r="P95" s="17">
        <f>SUM(P90:P94)</f>
        <v>416773</v>
      </c>
    </row>
    <row r="96" spans="1:16" ht="15.75" x14ac:dyDescent="0.25">
      <c r="A96" s="20" t="s">
        <v>5</v>
      </c>
      <c r="B96" s="19"/>
      <c r="C96" s="19"/>
      <c r="D96" s="19"/>
      <c r="E96" s="19"/>
      <c r="F96" s="19"/>
      <c r="G96" s="19"/>
      <c r="H96" s="19"/>
      <c r="I96" s="19"/>
      <c r="J96" s="19"/>
      <c r="K96" s="19"/>
      <c r="L96" s="17"/>
      <c r="M96" s="17" t="e">
        <f>0.07*M95</f>
        <v>#REF!</v>
      </c>
      <c r="N96" s="17">
        <f>0.07*N95</f>
        <v>29174.110000000004</v>
      </c>
      <c r="O96" s="17">
        <f>0.07*O95</f>
        <v>29174.110000000004</v>
      </c>
      <c r="P96" s="17">
        <f>0.07*P95</f>
        <v>29174.110000000004</v>
      </c>
    </row>
    <row r="97" spans="1:16" ht="15.75" x14ac:dyDescent="0.25">
      <c r="A97" s="15" t="s">
        <v>84</v>
      </c>
      <c r="B97" s="14"/>
      <c r="C97" s="14"/>
      <c r="D97" s="14"/>
      <c r="E97" s="14"/>
      <c r="F97" s="14"/>
      <c r="G97" s="14"/>
      <c r="H97" s="14"/>
      <c r="I97" s="14"/>
      <c r="J97" s="14"/>
      <c r="K97" s="14"/>
      <c r="L97" s="13"/>
      <c r="M97" s="91" t="e">
        <f>M96+M95</f>
        <v>#REF!</v>
      </c>
      <c r="N97" s="91">
        <f>N96+N95</f>
        <v>445947.11</v>
      </c>
      <c r="O97" s="91">
        <f>O96+O95</f>
        <v>445947.11</v>
      </c>
      <c r="P97" s="91">
        <f>P96+P95</f>
        <v>445947.11</v>
      </c>
    </row>
    <row r="98" spans="1:16" ht="47.25" x14ac:dyDescent="0.25">
      <c r="A98" s="1102" t="s">
        <v>118</v>
      </c>
      <c r="B98" s="214" t="s">
        <v>214</v>
      </c>
      <c r="C98" s="1058" t="s">
        <v>100</v>
      </c>
      <c r="D98" s="138"/>
      <c r="E98" s="138"/>
      <c r="F98" s="138"/>
      <c r="G98" s="138"/>
      <c r="H98" s="138"/>
      <c r="I98" s="138"/>
      <c r="J98" s="138"/>
      <c r="K98" s="138"/>
      <c r="L98" s="53" t="s">
        <v>32</v>
      </c>
      <c r="N98" s="53">
        <f>'[2]FAO '!N59</f>
        <v>88416</v>
      </c>
      <c r="O98" s="53">
        <f>SUM(N98:N98)</f>
        <v>88416</v>
      </c>
      <c r="P98" s="39">
        <f>'[2]FAO '!P59</f>
        <v>201664</v>
      </c>
    </row>
    <row r="99" spans="1:16" ht="15.75" x14ac:dyDescent="0.25">
      <c r="A99" s="1102"/>
      <c r="B99" s="139"/>
      <c r="C99" s="1059"/>
      <c r="D99" s="45"/>
      <c r="E99" s="45"/>
      <c r="F99" s="45"/>
      <c r="G99" s="45"/>
      <c r="H99" s="45"/>
      <c r="I99" s="45"/>
      <c r="J99" s="45"/>
      <c r="K99" s="45"/>
      <c r="L99" s="51" t="s">
        <v>30</v>
      </c>
      <c r="N99" s="51">
        <f>'[2]FAO '!N60</f>
        <v>54510</v>
      </c>
      <c r="O99" s="53">
        <f>SUM(N99:N99)</f>
        <v>54510</v>
      </c>
      <c r="P99" s="39">
        <f>'[2]FAO '!P60</f>
        <v>118500</v>
      </c>
    </row>
    <row r="100" spans="1:16" ht="31.5" x14ac:dyDescent="0.25">
      <c r="A100" s="1102"/>
      <c r="B100" s="41"/>
      <c r="C100" s="1059"/>
      <c r="D100" s="45"/>
      <c r="E100" s="45"/>
      <c r="F100" s="45"/>
      <c r="G100" s="45"/>
      <c r="H100" s="45"/>
      <c r="I100" s="45"/>
      <c r="J100" s="45"/>
      <c r="K100" s="45"/>
      <c r="L100" s="51" t="s">
        <v>28</v>
      </c>
      <c r="N100" s="51">
        <f>'[2]FAO '!N61</f>
        <v>100036</v>
      </c>
      <c r="O100" s="53">
        <f>SUM(N100:N100)</f>
        <v>100036</v>
      </c>
      <c r="P100" s="39">
        <f>'[2]FAO '!P61</f>
        <v>217470</v>
      </c>
    </row>
    <row r="101" spans="1:16" ht="15.75" x14ac:dyDescent="0.25">
      <c r="A101" s="1102"/>
      <c r="B101" s="41"/>
      <c r="C101" s="1059"/>
      <c r="D101" s="45"/>
      <c r="E101" s="45"/>
      <c r="F101" s="45"/>
      <c r="G101" s="45"/>
      <c r="H101" s="45"/>
      <c r="I101" s="45"/>
      <c r="J101" s="45"/>
      <c r="K101" s="45"/>
      <c r="L101" s="48" t="s">
        <v>27</v>
      </c>
      <c r="N101" s="48">
        <f>'[2]FAO '!N62</f>
        <v>2500</v>
      </c>
      <c r="O101" s="53">
        <f>SUM(N101:N101)</f>
        <v>2500</v>
      </c>
      <c r="P101" s="39">
        <v>2500</v>
      </c>
    </row>
    <row r="102" spans="1:16" ht="31.5" x14ac:dyDescent="0.25">
      <c r="A102" s="1102"/>
      <c r="B102" s="41"/>
      <c r="C102" s="1060"/>
      <c r="D102" s="45"/>
      <c r="E102" s="45"/>
      <c r="F102" s="45"/>
      <c r="G102" s="45"/>
      <c r="H102" s="45"/>
      <c r="I102" s="45"/>
      <c r="J102" s="45"/>
      <c r="K102" s="45"/>
      <c r="L102" s="47" t="s">
        <v>25</v>
      </c>
      <c r="N102" s="47">
        <f>'[2]FAO '!N63</f>
        <v>4538</v>
      </c>
      <c r="O102" s="53">
        <f>SUM(N102:N102)</f>
        <v>4538</v>
      </c>
      <c r="P102" s="39">
        <v>9866</v>
      </c>
    </row>
    <row r="103" spans="1:16" ht="15.75" x14ac:dyDescent="0.25">
      <c r="A103" s="46" t="s">
        <v>6</v>
      </c>
      <c r="B103" s="45"/>
      <c r="C103" s="45"/>
      <c r="D103" s="45"/>
      <c r="E103" s="45"/>
      <c r="F103" s="45"/>
      <c r="G103" s="45"/>
      <c r="H103" s="45"/>
      <c r="I103" s="45"/>
      <c r="J103" s="45"/>
      <c r="K103" s="45"/>
      <c r="L103" s="43"/>
      <c r="M103" s="43" t="e">
        <f>SUM('Secretariat work plan 2014 '!#REF!)</f>
        <v>#REF!</v>
      </c>
      <c r="N103" s="43">
        <f>SUM(N98:N102)</f>
        <v>250000</v>
      </c>
      <c r="O103" s="43">
        <f>SUM(O98:O102)</f>
        <v>250000</v>
      </c>
      <c r="P103" s="43">
        <f>SUM(P98:P102)</f>
        <v>550000</v>
      </c>
    </row>
    <row r="104" spans="1:16" ht="15.75" x14ac:dyDescent="0.25">
      <c r="A104" s="42" t="s">
        <v>5</v>
      </c>
      <c r="B104" s="41"/>
      <c r="C104" s="41"/>
      <c r="D104" s="41"/>
      <c r="E104" s="41"/>
      <c r="F104" s="41"/>
      <c r="G104" s="41"/>
      <c r="H104" s="41"/>
      <c r="I104" s="41"/>
      <c r="J104" s="41"/>
      <c r="K104" s="41"/>
      <c r="L104" s="39"/>
      <c r="M104" s="39" t="e">
        <f>0.07*M103</f>
        <v>#REF!</v>
      </c>
      <c r="N104" s="39">
        <f>0.07*N103</f>
        <v>17500</v>
      </c>
      <c r="O104" s="39">
        <f>0.07*O103</f>
        <v>17500</v>
      </c>
      <c r="P104" s="39">
        <f>0.07*P103</f>
        <v>38500.000000000007</v>
      </c>
    </row>
    <row r="105" spans="1:16" ht="15.75" x14ac:dyDescent="0.25">
      <c r="A105" s="140" t="s">
        <v>84</v>
      </c>
      <c r="B105" s="141"/>
      <c r="C105" s="141"/>
      <c r="D105" s="141"/>
      <c r="E105" s="141"/>
      <c r="F105" s="141"/>
      <c r="G105" s="141"/>
      <c r="H105" s="141"/>
      <c r="I105" s="141"/>
      <c r="J105" s="141"/>
      <c r="K105" s="141"/>
      <c r="L105" s="142"/>
      <c r="M105" s="143" t="e">
        <f>M104+M103</f>
        <v>#REF!</v>
      </c>
      <c r="N105" s="143">
        <f>N104+N103</f>
        <v>267500</v>
      </c>
      <c r="O105" s="143">
        <f>O104+O103</f>
        <v>267500</v>
      </c>
      <c r="P105" s="143">
        <f>P104+P103</f>
        <v>588500</v>
      </c>
    </row>
    <row r="106" spans="1:16" ht="47.25" x14ac:dyDescent="0.25">
      <c r="A106" s="1102" t="s">
        <v>119</v>
      </c>
      <c r="B106" s="214" t="s">
        <v>215</v>
      </c>
      <c r="C106" s="1058" t="s">
        <v>100</v>
      </c>
      <c r="D106" s="41"/>
      <c r="E106" s="138"/>
      <c r="F106" s="41"/>
      <c r="G106" s="138"/>
      <c r="H106" s="41"/>
      <c r="I106" s="138"/>
      <c r="J106" s="41"/>
      <c r="K106" s="138"/>
      <c r="L106" s="53" t="s">
        <v>32</v>
      </c>
      <c r="N106" s="53">
        <f>'[2]FAO '!N67</f>
        <v>180714</v>
      </c>
      <c r="O106" s="39">
        <f>SUM(N106:N106)</f>
        <v>180714</v>
      </c>
      <c r="P106" s="39">
        <v>180714</v>
      </c>
    </row>
    <row r="107" spans="1:16" ht="31.5" customHeight="1" x14ac:dyDescent="0.25">
      <c r="A107" s="1102"/>
      <c r="B107" s="41" t="s">
        <v>216</v>
      </c>
      <c r="C107" s="1059"/>
      <c r="D107" s="138"/>
      <c r="E107" s="138"/>
      <c r="F107" s="138"/>
      <c r="G107" s="138"/>
      <c r="H107" s="138"/>
      <c r="I107" s="138"/>
      <c r="J107" s="138"/>
      <c r="K107" s="138"/>
      <c r="L107" s="51" t="s">
        <v>30</v>
      </c>
      <c r="N107" s="53">
        <f>'[2]FAO '!N68</f>
        <v>0</v>
      </c>
      <c r="O107" s="39">
        <f>SUM(N107:N107)</f>
        <v>0</v>
      </c>
      <c r="P107" s="39">
        <v>0</v>
      </c>
    </row>
    <row r="108" spans="1:16" ht="31.5" x14ac:dyDescent="0.25">
      <c r="A108" s="1102"/>
      <c r="B108" s="139"/>
      <c r="C108" s="1059"/>
      <c r="D108" s="41"/>
      <c r="E108" s="41"/>
      <c r="F108" s="41"/>
      <c r="G108" s="41"/>
      <c r="H108" s="41"/>
      <c r="I108" s="41"/>
      <c r="J108" s="41"/>
      <c r="K108" s="41"/>
      <c r="L108" s="51" t="s">
        <v>28</v>
      </c>
      <c r="N108" s="53">
        <f>'[2]FAO '!N69</f>
        <v>0</v>
      </c>
      <c r="O108" s="39">
        <f>SUM(N108:N108)</f>
        <v>0</v>
      </c>
      <c r="P108" s="39">
        <v>0</v>
      </c>
    </row>
    <row r="109" spans="1:16" ht="15.75" x14ac:dyDescent="0.25">
      <c r="A109" s="1102"/>
      <c r="B109" s="41"/>
      <c r="C109" s="1059"/>
      <c r="D109" s="41"/>
      <c r="E109" s="41"/>
      <c r="F109" s="41"/>
      <c r="G109" s="41"/>
      <c r="H109" s="41"/>
      <c r="I109" s="41"/>
      <c r="J109" s="41"/>
      <c r="K109" s="41"/>
      <c r="L109" s="48" t="s">
        <v>27</v>
      </c>
      <c r="N109" s="53">
        <f>'[2]FAO '!N70</f>
        <v>6500</v>
      </c>
      <c r="O109" s="39">
        <f>SUM(N109:N109)</f>
        <v>6500</v>
      </c>
      <c r="P109" s="39">
        <v>6500</v>
      </c>
    </row>
    <row r="110" spans="1:16" ht="31.5" x14ac:dyDescent="0.25">
      <c r="A110" s="1102"/>
      <c r="B110" s="41"/>
      <c r="C110" s="1060"/>
      <c r="D110" s="41"/>
      <c r="E110" s="41"/>
      <c r="F110" s="41"/>
      <c r="G110" s="41"/>
      <c r="H110" s="41"/>
      <c r="I110" s="41"/>
      <c r="J110" s="41"/>
      <c r="K110" s="41"/>
      <c r="L110" s="47" t="s">
        <v>25</v>
      </c>
      <c r="N110" s="53">
        <f>'[2]FAO '!N71</f>
        <v>12786</v>
      </c>
      <c r="O110" s="39">
        <f>SUM(N110:N110)</f>
        <v>12786</v>
      </c>
      <c r="P110" s="39">
        <v>12786</v>
      </c>
    </row>
    <row r="111" spans="1:16" ht="15.75" x14ac:dyDescent="0.25">
      <c r="A111" s="46" t="s">
        <v>6</v>
      </c>
      <c r="B111" s="45"/>
      <c r="C111" s="45"/>
      <c r="D111" s="45"/>
      <c r="E111" s="45"/>
      <c r="F111" s="45"/>
      <c r="G111" s="45"/>
      <c r="H111" s="45"/>
      <c r="I111" s="45"/>
      <c r="J111" s="45"/>
      <c r="K111" s="45"/>
      <c r="L111" s="43"/>
      <c r="M111" s="43" t="e">
        <f>SUM('Secretariat work plan 2014 '!#REF!)</f>
        <v>#REF!</v>
      </c>
      <c r="N111" s="43">
        <f>SUM(N106:N110)</f>
        <v>200000</v>
      </c>
      <c r="O111" s="43">
        <f>SUM(O106:O110)</f>
        <v>200000</v>
      </c>
      <c r="P111" s="43">
        <f>SUM(P106:P110)</f>
        <v>200000</v>
      </c>
    </row>
    <row r="112" spans="1:16" ht="15.75" x14ac:dyDescent="0.25">
      <c r="A112" s="42" t="s">
        <v>5</v>
      </c>
      <c r="B112" s="41"/>
      <c r="C112" s="41"/>
      <c r="D112" s="41"/>
      <c r="E112" s="41"/>
      <c r="F112" s="41"/>
      <c r="G112" s="41"/>
      <c r="H112" s="41"/>
      <c r="I112" s="41"/>
      <c r="J112" s="41"/>
      <c r="K112" s="41"/>
      <c r="L112" s="39"/>
      <c r="M112" s="39" t="e">
        <f>0.07*M111</f>
        <v>#REF!</v>
      </c>
      <c r="N112" s="39">
        <f>0.07*N111</f>
        <v>14000.000000000002</v>
      </c>
      <c r="O112" s="39">
        <f>0.07*O111</f>
        <v>14000.000000000002</v>
      </c>
      <c r="P112" s="39">
        <f>0.07*P111</f>
        <v>14000.000000000002</v>
      </c>
    </row>
    <row r="113" spans="1:16" ht="15.75" x14ac:dyDescent="0.25">
      <c r="A113" s="236" t="s">
        <v>84</v>
      </c>
      <c r="B113" s="237"/>
      <c r="C113" s="237"/>
      <c r="D113" s="237"/>
      <c r="E113" s="237"/>
      <c r="F113" s="237"/>
      <c r="G113" s="237"/>
      <c r="H113" s="237"/>
      <c r="I113" s="237"/>
      <c r="J113" s="237"/>
      <c r="K113" s="237"/>
      <c r="L113" s="238"/>
      <c r="M113" s="239" t="e">
        <f>M112+M111</f>
        <v>#REF!</v>
      </c>
      <c r="N113" s="239">
        <f>N112+N111</f>
        <v>214000</v>
      </c>
      <c r="O113" s="239">
        <f>O112+O111</f>
        <v>214000</v>
      </c>
      <c r="P113" s="239">
        <f>P112+P111</f>
        <v>214000</v>
      </c>
    </row>
    <row r="114" spans="1:16" ht="15.75" x14ac:dyDescent="0.25">
      <c r="A114" s="35" t="s">
        <v>0</v>
      </c>
      <c r="B114" s="34"/>
      <c r="C114" s="34"/>
      <c r="D114" s="34"/>
      <c r="E114" s="34"/>
      <c r="F114" s="34"/>
      <c r="G114" s="34"/>
      <c r="H114" s="34"/>
      <c r="I114" s="34"/>
      <c r="J114" s="34"/>
      <c r="K114" s="34"/>
      <c r="L114" s="33"/>
      <c r="M114" s="32" t="e">
        <f>M113+M105+M97+M89+M81+M73+M65</f>
        <v>#REF!</v>
      </c>
      <c r="N114" s="32" t="e">
        <f>N113+N105+N97+N89+N81+N73+N65</f>
        <v>#REF!</v>
      </c>
      <c r="O114" s="32" t="e">
        <f>O113+O105+O97+O89+O81+O73+O65</f>
        <v>#REF!</v>
      </c>
      <c r="P114" s="32" t="e">
        <f>P113+P105+P97+P89+P81+P73+P65</f>
        <v>#REF!</v>
      </c>
    </row>
    <row r="115" spans="1:16" ht="23.25" customHeight="1" x14ac:dyDescent="0.25">
      <c r="A115" s="1076" t="s">
        <v>83</v>
      </c>
      <c r="B115" s="1077"/>
      <c r="C115" s="67"/>
      <c r="D115" s="67"/>
      <c r="E115" s="67"/>
      <c r="F115" s="67"/>
      <c r="G115" s="67"/>
      <c r="H115" s="67"/>
      <c r="I115" s="67"/>
      <c r="J115" s="67"/>
      <c r="K115" s="67"/>
      <c r="L115" s="61"/>
      <c r="M115" s="61"/>
      <c r="N115" s="61"/>
      <c r="O115" s="61"/>
      <c r="P115" s="61"/>
    </row>
    <row r="116" spans="1:16" ht="37.5" customHeight="1" x14ac:dyDescent="0.25">
      <c r="A116" s="1103" t="s">
        <v>82</v>
      </c>
      <c r="B116" s="1104"/>
      <c r="C116" s="96"/>
      <c r="D116" s="970" t="s">
        <v>23</v>
      </c>
      <c r="E116" s="970"/>
      <c r="F116" s="970"/>
      <c r="G116" s="970"/>
      <c r="H116" s="970" t="s">
        <v>22</v>
      </c>
      <c r="I116" s="970"/>
      <c r="J116" s="970"/>
      <c r="K116" s="970"/>
      <c r="L116" s="970" t="s">
        <v>198</v>
      </c>
      <c r="M116" s="970"/>
      <c r="N116" s="970"/>
      <c r="O116" s="970"/>
      <c r="P116" s="970"/>
    </row>
    <row r="117" spans="1:16" ht="31.5" x14ac:dyDescent="0.25">
      <c r="A117" s="27" t="s">
        <v>21</v>
      </c>
      <c r="B117" s="86" t="s">
        <v>20</v>
      </c>
      <c r="C117" s="86" t="s">
        <v>24</v>
      </c>
      <c r="D117" s="27" t="s">
        <v>19</v>
      </c>
      <c r="E117" s="27" t="s">
        <v>18</v>
      </c>
      <c r="F117" s="27" t="s">
        <v>17</v>
      </c>
      <c r="G117" s="27" t="s">
        <v>16</v>
      </c>
      <c r="H117" s="27" t="s">
        <v>19</v>
      </c>
      <c r="I117" s="27" t="s">
        <v>18</v>
      </c>
      <c r="J117" s="27" t="s">
        <v>17</v>
      </c>
      <c r="K117" s="27" t="s">
        <v>16</v>
      </c>
      <c r="L117" s="85" t="s">
        <v>15</v>
      </c>
      <c r="M117" s="27" t="s">
        <v>14</v>
      </c>
      <c r="N117" s="27" t="s">
        <v>13</v>
      </c>
      <c r="O117" s="233" t="s">
        <v>221</v>
      </c>
      <c r="P117" s="27" t="s">
        <v>230</v>
      </c>
    </row>
    <row r="118" spans="1:16" ht="47.25" x14ac:dyDescent="0.25">
      <c r="A118" s="1049" t="s">
        <v>81</v>
      </c>
      <c r="B118" s="82" t="s">
        <v>120</v>
      </c>
      <c r="C118" s="948" t="s">
        <v>50</v>
      </c>
      <c r="D118" s="19"/>
      <c r="E118" s="58"/>
      <c r="F118" s="58"/>
      <c r="G118" s="58"/>
      <c r="H118" s="58"/>
      <c r="I118" s="58"/>
      <c r="J118" s="58"/>
      <c r="K118" s="58"/>
      <c r="L118" s="26" t="s">
        <v>32</v>
      </c>
      <c r="N118" s="26">
        <v>203816</v>
      </c>
      <c r="O118" s="26">
        <f>SUM(N118:N118)</f>
        <v>203816</v>
      </c>
      <c r="P118" s="26">
        <v>252042</v>
      </c>
    </row>
    <row r="119" spans="1:16" ht="15.75" x14ac:dyDescent="0.25">
      <c r="A119" s="1049"/>
      <c r="B119" s="82" t="s">
        <v>121</v>
      </c>
      <c r="C119" s="949"/>
      <c r="D119" s="58"/>
      <c r="E119" s="58"/>
      <c r="F119" s="58"/>
      <c r="G119" s="19"/>
      <c r="H119" s="19"/>
      <c r="I119" s="19"/>
      <c r="J119" s="19"/>
      <c r="K119" s="19"/>
      <c r="L119" s="22" t="s">
        <v>30</v>
      </c>
      <c r="N119" s="22">
        <v>0</v>
      </c>
      <c r="O119" s="26">
        <f>SUM(N119:N119)</f>
        <v>0</v>
      </c>
      <c r="P119" s="22">
        <v>0</v>
      </c>
    </row>
    <row r="120" spans="1:16" ht="31.5" x14ac:dyDescent="0.25">
      <c r="A120" s="1049"/>
      <c r="B120" s="82" t="s">
        <v>122</v>
      </c>
      <c r="C120" s="949"/>
      <c r="D120" s="58"/>
      <c r="E120" s="58"/>
      <c r="F120" s="58"/>
      <c r="G120" s="58"/>
      <c r="H120" s="58"/>
      <c r="I120" s="58"/>
      <c r="J120" s="58"/>
      <c r="K120" s="58"/>
      <c r="L120" s="22" t="s">
        <v>28</v>
      </c>
      <c r="N120" s="22">
        <v>33226</v>
      </c>
      <c r="O120" s="26">
        <f>SUM(N120:N120)</f>
        <v>33226</v>
      </c>
      <c r="P120" s="22">
        <v>40000</v>
      </c>
    </row>
    <row r="121" spans="1:16" ht="15.75" x14ac:dyDescent="0.25">
      <c r="A121" s="1049"/>
      <c r="B121" s="19"/>
      <c r="C121" s="949"/>
      <c r="D121" s="19"/>
      <c r="E121" s="19"/>
      <c r="F121" s="19"/>
      <c r="G121" s="19"/>
      <c r="H121" s="19"/>
      <c r="I121" s="19"/>
      <c r="J121" s="19"/>
      <c r="K121" s="19"/>
      <c r="L121" s="25" t="s">
        <v>27</v>
      </c>
      <c r="N121" s="25">
        <v>4430</v>
      </c>
      <c r="O121" s="26">
        <f>SUM(N121:N121)</f>
        <v>4430</v>
      </c>
      <c r="P121" s="25">
        <v>4430</v>
      </c>
    </row>
    <row r="122" spans="1:16" ht="31.5" x14ac:dyDescent="0.25">
      <c r="A122" s="1049"/>
      <c r="B122" s="19"/>
      <c r="C122" s="950"/>
      <c r="D122" s="19"/>
      <c r="E122" s="19"/>
      <c r="F122" s="19"/>
      <c r="G122" s="19"/>
      <c r="H122" s="19"/>
      <c r="I122" s="19"/>
      <c r="J122" s="19"/>
      <c r="K122" s="19"/>
      <c r="L122" s="23" t="s">
        <v>25</v>
      </c>
      <c r="N122" s="23">
        <v>0</v>
      </c>
      <c r="O122" s="26">
        <f>SUM(N122:N122)</f>
        <v>0</v>
      </c>
      <c r="P122" s="23">
        <v>0</v>
      </c>
    </row>
    <row r="123" spans="1:16" ht="15.75" x14ac:dyDescent="0.25">
      <c r="A123" s="20" t="s">
        <v>6</v>
      </c>
      <c r="B123" s="19"/>
      <c r="C123" s="19"/>
      <c r="D123" s="19"/>
      <c r="E123" s="19"/>
      <c r="F123" s="19"/>
      <c r="G123" s="19"/>
      <c r="H123" s="19"/>
      <c r="I123" s="19"/>
      <c r="J123" s="19"/>
      <c r="K123" s="19"/>
      <c r="L123" s="17"/>
      <c r="M123" s="17" t="e">
        <f>SUM('Secretariat work plan 2014 '!#REF!)</f>
        <v>#REF!</v>
      </c>
      <c r="N123" s="17">
        <f>SUM(N118:N122)</f>
        <v>241472</v>
      </c>
      <c r="O123" s="17">
        <f>SUM(O118:O122)</f>
        <v>241472</v>
      </c>
      <c r="P123" s="17">
        <f>SUM(P118:P122)</f>
        <v>296472</v>
      </c>
    </row>
    <row r="124" spans="1:16" ht="15.75" x14ac:dyDescent="0.25">
      <c r="A124" s="20" t="s">
        <v>5</v>
      </c>
      <c r="B124" s="19"/>
      <c r="C124" s="19"/>
      <c r="D124" s="19"/>
      <c r="E124" s="19"/>
      <c r="F124" s="19"/>
      <c r="G124" s="19"/>
      <c r="H124" s="19"/>
      <c r="I124" s="19"/>
      <c r="J124" s="19"/>
      <c r="K124" s="19"/>
      <c r="L124" s="17"/>
      <c r="M124" s="17" t="e">
        <f>M123*0.07</f>
        <v>#REF!</v>
      </c>
      <c r="N124" s="17">
        <f>N123*0.07</f>
        <v>16903.04</v>
      </c>
      <c r="O124" s="17">
        <f>O123*0.07</f>
        <v>16903.04</v>
      </c>
      <c r="P124" s="17">
        <f>P123*0.07</f>
        <v>20753.04</v>
      </c>
    </row>
    <row r="125" spans="1:16" ht="15.75" x14ac:dyDescent="0.25">
      <c r="A125" s="15" t="s">
        <v>4</v>
      </c>
      <c r="B125" s="14"/>
      <c r="C125" s="14"/>
      <c r="D125" s="14"/>
      <c r="E125" s="14"/>
      <c r="F125" s="14"/>
      <c r="G125" s="14"/>
      <c r="H125" s="14"/>
      <c r="I125" s="14"/>
      <c r="J125" s="14"/>
      <c r="K125" s="14"/>
      <c r="L125" s="13"/>
      <c r="M125" s="91" t="e">
        <f>M124+M123</f>
        <v>#REF!</v>
      </c>
      <c r="N125" s="91">
        <f>N124+N123</f>
        <v>258375.04000000001</v>
      </c>
      <c r="O125" s="91">
        <f>O124+O123</f>
        <v>258375.04000000001</v>
      </c>
      <c r="P125" s="91">
        <f>P124+P123</f>
        <v>317225.03999999998</v>
      </c>
    </row>
    <row r="126" spans="1:16" ht="47.25" x14ac:dyDescent="0.25">
      <c r="A126" s="1049" t="s">
        <v>80</v>
      </c>
      <c r="B126" s="82" t="s">
        <v>123</v>
      </c>
      <c r="C126" s="948" t="s">
        <v>50</v>
      </c>
      <c r="D126" s="19"/>
      <c r="E126" s="58"/>
      <c r="F126" s="58"/>
      <c r="G126" s="58"/>
      <c r="H126" s="58"/>
      <c r="I126" s="19"/>
      <c r="J126" s="19"/>
      <c r="K126" s="19"/>
      <c r="L126" s="26" t="s">
        <v>32</v>
      </c>
      <c r="N126" s="26">
        <v>199647</v>
      </c>
      <c r="O126" s="26">
        <f>SUM(N126:N126)</f>
        <v>199647</v>
      </c>
      <c r="P126" s="26">
        <v>215321</v>
      </c>
    </row>
    <row r="127" spans="1:16" ht="31.5" x14ac:dyDescent="0.25">
      <c r="A127" s="1049"/>
      <c r="B127" s="82" t="s">
        <v>124</v>
      </c>
      <c r="C127" s="949"/>
      <c r="D127" s="19"/>
      <c r="E127" s="19"/>
      <c r="F127" s="19"/>
      <c r="G127" s="58"/>
      <c r="H127" s="58"/>
      <c r="I127" s="58"/>
      <c r="J127" s="58"/>
      <c r="K127" s="58"/>
      <c r="L127" s="22" t="s">
        <v>30</v>
      </c>
      <c r="N127" s="22">
        <v>10000</v>
      </c>
      <c r="O127" s="26">
        <f>SUM(N127:N127)</f>
        <v>10000</v>
      </c>
      <c r="P127" s="22">
        <v>10000</v>
      </c>
    </row>
    <row r="128" spans="1:16" ht="31.5" x14ac:dyDescent="0.25">
      <c r="A128" s="1049"/>
      <c r="B128" s="144"/>
      <c r="C128" s="949"/>
      <c r="D128" s="19"/>
      <c r="E128" s="19"/>
      <c r="F128" s="19"/>
      <c r="G128" s="19"/>
      <c r="H128" s="19"/>
      <c r="I128" s="19"/>
      <c r="J128" s="19"/>
      <c r="K128" s="19"/>
      <c r="L128" s="22" t="s">
        <v>28</v>
      </c>
      <c r="N128" s="22">
        <v>50000</v>
      </c>
      <c r="O128" s="26">
        <f>SUM(N128:N128)</f>
        <v>50000</v>
      </c>
      <c r="P128" s="22">
        <v>43226</v>
      </c>
    </row>
    <row r="129" spans="1:16" ht="15.75" x14ac:dyDescent="0.25">
      <c r="A129" s="1049"/>
      <c r="B129" s="144"/>
      <c r="C129" s="949"/>
      <c r="D129" s="19"/>
      <c r="E129" s="19"/>
      <c r="F129" s="19"/>
      <c r="G129" s="19"/>
      <c r="H129" s="19"/>
      <c r="I129" s="19"/>
      <c r="J129" s="19"/>
      <c r="K129" s="19"/>
      <c r="L129" s="25" t="s">
        <v>27</v>
      </c>
      <c r="N129" s="25">
        <v>0</v>
      </c>
      <c r="O129" s="26">
        <f>SUM(N129:N129)</f>
        <v>0</v>
      </c>
      <c r="P129" s="25">
        <v>0</v>
      </c>
    </row>
    <row r="130" spans="1:16" ht="31.5" x14ac:dyDescent="0.25">
      <c r="A130" s="1049"/>
      <c r="B130" s="19"/>
      <c r="C130" s="950"/>
      <c r="D130" s="19"/>
      <c r="E130" s="19"/>
      <c r="F130" s="19"/>
      <c r="G130" s="19"/>
      <c r="H130" s="19"/>
      <c r="I130" s="19"/>
      <c r="J130" s="19"/>
      <c r="K130" s="19"/>
      <c r="L130" s="23" t="s">
        <v>25</v>
      </c>
      <c r="N130" s="23">
        <v>13400</v>
      </c>
      <c r="O130" s="26">
        <f>SUM(N130:N130)</f>
        <v>13400</v>
      </c>
      <c r="P130" s="23">
        <v>13400</v>
      </c>
    </row>
    <row r="131" spans="1:16" ht="15.75" x14ac:dyDescent="0.25">
      <c r="A131" s="20" t="s">
        <v>6</v>
      </c>
      <c r="B131" s="19"/>
      <c r="C131" s="19"/>
      <c r="D131" s="19"/>
      <c r="E131" s="19"/>
      <c r="F131" s="19"/>
      <c r="G131" s="19"/>
      <c r="H131" s="19"/>
      <c r="I131" s="19"/>
      <c r="J131" s="19"/>
      <c r="K131" s="19"/>
      <c r="L131" s="17"/>
      <c r="M131" s="17" t="e">
        <f>SUM('Secretariat work plan 2014 '!#REF!)</f>
        <v>#REF!</v>
      </c>
      <c r="N131" s="17">
        <f>SUM(N126:N130)</f>
        <v>273047</v>
      </c>
      <c r="O131" s="17">
        <f>SUM(O126:O130)</f>
        <v>273047</v>
      </c>
      <c r="P131" s="17">
        <f>SUM(P126:P130)</f>
        <v>281947</v>
      </c>
    </row>
    <row r="132" spans="1:16" ht="15.75" x14ac:dyDescent="0.25">
      <c r="A132" s="20" t="s">
        <v>5</v>
      </c>
      <c r="B132" s="19"/>
      <c r="C132" s="19"/>
      <c r="D132" s="19"/>
      <c r="E132" s="19"/>
      <c r="F132" s="19"/>
      <c r="G132" s="19"/>
      <c r="H132" s="19"/>
      <c r="I132" s="19"/>
      <c r="J132" s="19"/>
      <c r="K132" s="19"/>
      <c r="L132" s="17"/>
      <c r="M132" s="17" t="e">
        <f>0.07*M131</f>
        <v>#REF!</v>
      </c>
      <c r="N132" s="17">
        <f>0.07*N131</f>
        <v>19113.29</v>
      </c>
      <c r="O132" s="17">
        <f>0.07*O131</f>
        <v>19113.29</v>
      </c>
      <c r="P132" s="17">
        <f>0.07*P131</f>
        <v>19736.29</v>
      </c>
    </row>
    <row r="133" spans="1:16" ht="15.75" x14ac:dyDescent="0.25">
      <c r="A133" s="15" t="s">
        <v>4</v>
      </c>
      <c r="B133" s="14"/>
      <c r="C133" s="14"/>
      <c r="D133" s="14"/>
      <c r="E133" s="14"/>
      <c r="F133" s="14"/>
      <c r="G133" s="14"/>
      <c r="H133" s="14"/>
      <c r="I133" s="14"/>
      <c r="J133" s="14"/>
      <c r="K133" s="14"/>
      <c r="L133" s="13"/>
      <c r="M133" s="91" t="e">
        <f>M132+M131</f>
        <v>#REF!</v>
      </c>
      <c r="N133" s="91">
        <f>N132+N131</f>
        <v>292160.28999999998</v>
      </c>
      <c r="O133" s="91">
        <f>O132+O131</f>
        <v>292160.28999999998</v>
      </c>
      <c r="P133" s="91">
        <f>P132+P131</f>
        <v>301683.28999999998</v>
      </c>
    </row>
    <row r="134" spans="1:16" ht="47.25" x14ac:dyDescent="0.25">
      <c r="A134" s="977" t="s">
        <v>79</v>
      </c>
      <c r="B134" s="82" t="s">
        <v>125</v>
      </c>
      <c r="C134" s="948" t="s">
        <v>50</v>
      </c>
      <c r="D134" s="58"/>
      <c r="E134" s="58"/>
      <c r="F134" s="58"/>
      <c r="G134" s="58"/>
      <c r="H134" s="19"/>
      <c r="I134" s="19"/>
      <c r="J134" s="19"/>
      <c r="K134" s="19"/>
      <c r="L134" s="26" t="s">
        <v>32</v>
      </c>
      <c r="N134" s="26">
        <v>645542</v>
      </c>
      <c r="O134" s="26">
        <f>SUM(N134:N134)</f>
        <v>645542</v>
      </c>
      <c r="P134" s="26">
        <v>523042</v>
      </c>
    </row>
    <row r="135" spans="1:16" ht="15.75" x14ac:dyDescent="0.25">
      <c r="A135" s="978"/>
      <c r="B135" s="82" t="s">
        <v>126</v>
      </c>
      <c r="C135" s="949"/>
      <c r="D135" s="19"/>
      <c r="E135" s="58"/>
      <c r="F135" s="19"/>
      <c r="G135" s="58"/>
      <c r="H135" s="19"/>
      <c r="I135" s="58"/>
      <c r="J135" s="19"/>
      <c r="K135" s="19"/>
      <c r="L135" s="22" t="s">
        <v>30</v>
      </c>
      <c r="N135" s="22">
        <v>70000</v>
      </c>
      <c r="O135" s="26">
        <f>SUM(N135:N135)</f>
        <v>70000</v>
      </c>
      <c r="P135" s="22">
        <v>70000</v>
      </c>
    </row>
    <row r="136" spans="1:16" ht="31.5" x14ac:dyDescent="0.25">
      <c r="A136" s="978"/>
      <c r="B136" s="82" t="s">
        <v>127</v>
      </c>
      <c r="C136" s="949"/>
      <c r="D136" s="19"/>
      <c r="E136" s="58"/>
      <c r="F136" s="58"/>
      <c r="G136" s="58"/>
      <c r="H136" s="58"/>
      <c r="I136" s="19"/>
      <c r="J136" s="19"/>
      <c r="K136" s="19"/>
      <c r="L136" s="22" t="s">
        <v>28</v>
      </c>
      <c r="N136" s="22">
        <v>75000</v>
      </c>
      <c r="O136" s="26">
        <f>SUM(N136:N136)</f>
        <v>75000</v>
      </c>
      <c r="P136" s="22">
        <v>50000</v>
      </c>
    </row>
    <row r="137" spans="1:16" ht="31.5" x14ac:dyDescent="0.25">
      <c r="A137" s="978"/>
      <c r="B137" s="82" t="s">
        <v>128</v>
      </c>
      <c r="C137" s="949"/>
      <c r="D137" s="58"/>
      <c r="E137" s="58"/>
      <c r="F137" s="58"/>
      <c r="G137" s="58"/>
      <c r="H137" s="58"/>
      <c r="I137" s="58"/>
      <c r="J137" s="58"/>
      <c r="K137" s="58"/>
      <c r="L137" s="25" t="s">
        <v>27</v>
      </c>
      <c r="N137" s="25">
        <v>0</v>
      </c>
      <c r="O137" s="26">
        <f>SUM(N137:N137)</f>
        <v>0</v>
      </c>
      <c r="P137" s="25">
        <v>0</v>
      </c>
    </row>
    <row r="138" spans="1:16" ht="31.5" x14ac:dyDescent="0.25">
      <c r="A138" s="978"/>
      <c r="B138" s="82" t="s">
        <v>129</v>
      </c>
      <c r="C138" s="949"/>
      <c r="D138" s="84"/>
      <c r="E138" s="58"/>
      <c r="F138" s="58"/>
      <c r="G138" s="19"/>
      <c r="H138" s="19"/>
      <c r="I138" s="19"/>
      <c r="J138" s="19"/>
      <c r="K138" s="19"/>
      <c r="L138" s="23" t="s">
        <v>25</v>
      </c>
      <c r="N138" s="23">
        <v>5430</v>
      </c>
      <c r="O138" s="26">
        <f>SUM(N138:N138)</f>
        <v>5430</v>
      </c>
      <c r="P138" s="23">
        <v>5430</v>
      </c>
    </row>
    <row r="139" spans="1:16" ht="47.25" x14ac:dyDescent="0.25">
      <c r="A139" s="978"/>
      <c r="B139" s="82" t="s">
        <v>130</v>
      </c>
      <c r="C139" s="949"/>
      <c r="D139" s="19"/>
      <c r="E139" s="19"/>
      <c r="F139" s="58"/>
      <c r="G139" s="58"/>
      <c r="H139" s="58"/>
      <c r="I139" s="58"/>
      <c r="J139" s="19"/>
      <c r="K139" s="19"/>
      <c r="L139" s="83"/>
      <c r="M139" s="83"/>
      <c r="N139" s="83"/>
      <c r="O139" s="17"/>
      <c r="P139" s="17"/>
    </row>
    <row r="140" spans="1:16" ht="31.5" x14ac:dyDescent="0.25">
      <c r="A140" s="978"/>
      <c r="B140" s="82" t="s">
        <v>131</v>
      </c>
      <c r="C140" s="949"/>
      <c r="D140" s="58"/>
      <c r="E140" s="58"/>
      <c r="F140" s="58"/>
      <c r="G140" s="58"/>
      <c r="H140" s="58"/>
      <c r="I140" s="58"/>
      <c r="J140" s="58"/>
      <c r="K140" s="58"/>
      <c r="L140" s="83"/>
      <c r="M140" s="83"/>
      <c r="N140" s="83"/>
      <c r="O140" s="17"/>
      <c r="P140" s="17"/>
    </row>
    <row r="141" spans="1:16" ht="31.5" x14ac:dyDescent="0.25">
      <c r="A141" s="1096"/>
      <c r="B141" s="82" t="s">
        <v>117</v>
      </c>
      <c r="C141" s="950"/>
      <c r="D141" s="58"/>
      <c r="E141" s="58"/>
      <c r="F141" s="58"/>
      <c r="G141" s="58"/>
      <c r="H141" s="58"/>
      <c r="I141" s="58"/>
      <c r="J141" s="58"/>
      <c r="K141" s="58"/>
      <c r="L141" s="83"/>
      <c r="M141" s="83"/>
      <c r="N141" s="83"/>
      <c r="O141" s="17"/>
      <c r="P141" s="17"/>
    </row>
    <row r="142" spans="1:16" ht="15.75" x14ac:dyDescent="0.25">
      <c r="A142" s="20" t="s">
        <v>6</v>
      </c>
      <c r="B142" s="19"/>
      <c r="C142" s="19"/>
      <c r="D142" s="19"/>
      <c r="E142" s="19"/>
      <c r="F142" s="19"/>
      <c r="G142" s="19"/>
      <c r="H142" s="19"/>
      <c r="I142" s="19"/>
      <c r="J142" s="19"/>
      <c r="K142" s="19"/>
      <c r="L142" s="17"/>
      <c r="M142" s="17">
        <f>SUM(M139:M141)</f>
        <v>0</v>
      </c>
      <c r="N142" s="17">
        <f>SUM(N134:N141)</f>
        <v>795972</v>
      </c>
      <c r="O142" s="17">
        <f>SUM(O134:O141)</f>
        <v>795972</v>
      </c>
      <c r="P142" s="17">
        <f>SUM(P134:P141)</f>
        <v>648472</v>
      </c>
    </row>
    <row r="143" spans="1:16" ht="15.75" x14ac:dyDescent="0.25">
      <c r="A143" s="20" t="s">
        <v>5</v>
      </c>
      <c r="B143" s="19"/>
      <c r="C143" s="19"/>
      <c r="D143" s="19"/>
      <c r="E143" s="19"/>
      <c r="F143" s="19"/>
      <c r="G143" s="19"/>
      <c r="H143" s="19"/>
      <c r="I143" s="19"/>
      <c r="J143" s="19"/>
      <c r="K143" s="19"/>
      <c r="L143" s="17"/>
      <c r="M143" s="17">
        <f>0.07*M142</f>
        <v>0</v>
      </c>
      <c r="N143" s="17">
        <f>0.07*N142</f>
        <v>55718.040000000008</v>
      </c>
      <c r="O143" s="17">
        <f>0.07*O142</f>
        <v>55718.040000000008</v>
      </c>
      <c r="P143" s="17">
        <f>0.07*P142</f>
        <v>45393.04</v>
      </c>
    </row>
    <row r="144" spans="1:16" ht="15.75" x14ac:dyDescent="0.25">
      <c r="A144" s="15" t="s">
        <v>4</v>
      </c>
      <c r="B144" s="14"/>
      <c r="C144" s="14"/>
      <c r="D144" s="14"/>
      <c r="E144" s="14"/>
      <c r="F144" s="14"/>
      <c r="G144" s="14"/>
      <c r="H144" s="14"/>
      <c r="I144" s="14"/>
      <c r="J144" s="14"/>
      <c r="K144" s="14"/>
      <c r="L144" s="13"/>
      <c r="M144" s="91">
        <f>M143+M142</f>
        <v>0</v>
      </c>
      <c r="N144" s="91">
        <f>N143+N142</f>
        <v>851690.04</v>
      </c>
      <c r="O144" s="91">
        <f>O143+O142</f>
        <v>851690.04</v>
      </c>
      <c r="P144" s="91">
        <f>P143+P142</f>
        <v>693865.04</v>
      </c>
    </row>
    <row r="145" spans="1:16" ht="47.25" x14ac:dyDescent="0.25">
      <c r="A145" s="1049" t="s">
        <v>78</v>
      </c>
      <c r="B145" s="146" t="s">
        <v>132</v>
      </c>
      <c r="C145" s="948" t="s">
        <v>50</v>
      </c>
      <c r="D145" s="58"/>
      <c r="E145" s="58"/>
      <c r="F145" s="19"/>
      <c r="G145" s="19"/>
      <c r="H145" s="19"/>
      <c r="I145" s="19"/>
      <c r="J145" s="19"/>
      <c r="K145" s="19"/>
      <c r="L145" s="26" t="s">
        <v>32</v>
      </c>
      <c r="N145" s="26">
        <v>157875</v>
      </c>
      <c r="O145" s="26">
        <f>SUM(N145:N145)</f>
        <v>157875</v>
      </c>
      <c r="P145" s="26">
        <v>184649</v>
      </c>
    </row>
    <row r="146" spans="1:16" ht="15.75" x14ac:dyDescent="0.25">
      <c r="A146" s="1049"/>
      <c r="B146" s="146" t="s">
        <v>133</v>
      </c>
      <c r="C146" s="949"/>
      <c r="D146" s="19"/>
      <c r="E146" s="58"/>
      <c r="F146" s="58"/>
      <c r="G146" s="19"/>
      <c r="H146" s="19"/>
      <c r="I146" s="19"/>
      <c r="J146" s="19"/>
      <c r="K146" s="19"/>
      <c r="L146" s="22" t="s">
        <v>30</v>
      </c>
      <c r="N146" s="22">
        <v>25000</v>
      </c>
      <c r="O146" s="26">
        <f>SUM(N146:N146)</f>
        <v>25000</v>
      </c>
      <c r="P146" s="22">
        <v>0</v>
      </c>
    </row>
    <row r="147" spans="1:16" ht="31.5" x14ac:dyDescent="0.25">
      <c r="A147" s="1049"/>
      <c r="B147" s="146" t="s">
        <v>134</v>
      </c>
      <c r="C147" s="949"/>
      <c r="D147" s="19"/>
      <c r="E147" s="19"/>
      <c r="F147" s="58"/>
      <c r="G147" s="58"/>
      <c r="H147" s="58"/>
      <c r="I147" s="58"/>
      <c r="J147" s="58"/>
      <c r="K147" s="58"/>
      <c r="L147" s="22" t="s">
        <v>28</v>
      </c>
      <c r="N147" s="22">
        <v>0</v>
      </c>
      <c r="O147" s="26">
        <f>SUM(N147:N147)</f>
        <v>0</v>
      </c>
      <c r="P147" s="22">
        <v>15000</v>
      </c>
    </row>
    <row r="148" spans="1:16" ht="15.75" x14ac:dyDescent="0.25">
      <c r="A148" s="1049"/>
      <c r="B148" s="82"/>
      <c r="C148" s="949"/>
      <c r="D148" s="19"/>
      <c r="E148" s="19"/>
      <c r="F148" s="19"/>
      <c r="G148" s="19"/>
      <c r="H148" s="19"/>
      <c r="I148" s="19"/>
      <c r="J148" s="19"/>
      <c r="K148" s="19"/>
      <c r="L148" s="25" t="s">
        <v>27</v>
      </c>
      <c r="N148" s="25">
        <v>0</v>
      </c>
      <c r="O148" s="26">
        <f>SUM(N148:N148)</f>
        <v>0</v>
      </c>
      <c r="P148" s="25">
        <v>0</v>
      </c>
    </row>
    <row r="149" spans="1:16" ht="31.5" x14ac:dyDescent="0.25">
      <c r="A149" s="1049"/>
      <c r="B149" s="82"/>
      <c r="C149" s="950"/>
      <c r="D149" s="19"/>
      <c r="E149" s="19"/>
      <c r="F149" s="19"/>
      <c r="G149" s="19"/>
      <c r="H149" s="19"/>
      <c r="I149" s="19"/>
      <c r="J149" s="19"/>
      <c r="K149" s="19"/>
      <c r="L149" s="23" t="s">
        <v>25</v>
      </c>
      <c r="N149" s="23">
        <v>4430</v>
      </c>
      <c r="O149" s="26">
        <f>SUM(N149:N149)</f>
        <v>4430</v>
      </c>
      <c r="P149" s="23">
        <v>4430</v>
      </c>
    </row>
    <row r="150" spans="1:16" ht="15.75" x14ac:dyDescent="0.25">
      <c r="A150" s="20" t="s">
        <v>6</v>
      </c>
      <c r="B150" s="19"/>
      <c r="C150" s="19"/>
      <c r="D150" s="19"/>
      <c r="E150" s="19"/>
      <c r="F150" s="19"/>
      <c r="G150" s="19"/>
      <c r="H150" s="19"/>
      <c r="I150" s="19"/>
      <c r="J150" s="19"/>
      <c r="K150" s="19"/>
      <c r="L150" s="17"/>
      <c r="M150" s="17" t="e">
        <f>SUM('Secretariat work plan 2014 '!#REF!)</f>
        <v>#REF!</v>
      </c>
      <c r="N150" s="17">
        <f>SUM(N145:N149)</f>
        <v>187305</v>
      </c>
      <c r="O150" s="17">
        <f>SUM(O145:O149)</f>
        <v>187305</v>
      </c>
      <c r="P150" s="17">
        <f>SUM(P145:P149)</f>
        <v>204079</v>
      </c>
    </row>
    <row r="151" spans="1:16" ht="15.75" x14ac:dyDescent="0.25">
      <c r="A151" s="20" t="s">
        <v>5</v>
      </c>
      <c r="B151" s="19"/>
      <c r="C151" s="19"/>
      <c r="D151" s="19"/>
      <c r="E151" s="19"/>
      <c r="F151" s="19"/>
      <c r="G151" s="19"/>
      <c r="H151" s="19"/>
      <c r="I151" s="19"/>
      <c r="J151" s="19"/>
      <c r="K151" s="19"/>
      <c r="L151" s="17"/>
      <c r="M151" s="17" t="e">
        <f>0.07*M150</f>
        <v>#REF!</v>
      </c>
      <c r="N151" s="17">
        <f>0.07*N150</f>
        <v>13111.35</v>
      </c>
      <c r="O151" s="17">
        <f>0.07*O150</f>
        <v>13111.35</v>
      </c>
      <c r="P151" s="17">
        <f>0.07*P150</f>
        <v>14285.53</v>
      </c>
    </row>
    <row r="152" spans="1:16" ht="15.75" x14ac:dyDescent="0.25">
      <c r="A152" s="15" t="s">
        <v>4</v>
      </c>
      <c r="B152" s="14"/>
      <c r="C152" s="14"/>
      <c r="D152" s="14"/>
      <c r="E152" s="14"/>
      <c r="F152" s="14"/>
      <c r="G152" s="14"/>
      <c r="H152" s="14"/>
      <c r="I152" s="14"/>
      <c r="J152" s="14"/>
      <c r="K152" s="14"/>
      <c r="L152" s="13"/>
      <c r="M152" s="91" t="e">
        <f>M151+M150</f>
        <v>#REF!</v>
      </c>
      <c r="N152" s="91">
        <f>N151+N150</f>
        <v>200416.35</v>
      </c>
      <c r="O152" s="91">
        <f>O151+O150</f>
        <v>200416.35</v>
      </c>
      <c r="P152" s="91">
        <f>P151+P150</f>
        <v>218364.53</v>
      </c>
    </row>
    <row r="153" spans="1:16" ht="47.25" x14ac:dyDescent="0.25">
      <c r="A153" s="1049" t="s">
        <v>77</v>
      </c>
      <c r="B153" s="82" t="s">
        <v>135</v>
      </c>
      <c r="C153" s="948" t="s">
        <v>50</v>
      </c>
      <c r="D153" s="19"/>
      <c r="E153" s="58"/>
      <c r="F153" s="58"/>
      <c r="G153" s="58"/>
      <c r="H153" s="58"/>
      <c r="I153" s="19"/>
      <c r="J153" s="19"/>
      <c r="K153" s="19"/>
      <c r="L153" s="26" t="s">
        <v>32</v>
      </c>
      <c r="N153" s="26">
        <v>187875</v>
      </c>
      <c r="O153" s="26">
        <f>SUM(N153:N153)</f>
        <v>187875</v>
      </c>
      <c r="P153" s="26">
        <v>162875</v>
      </c>
    </row>
    <row r="154" spans="1:16" ht="15.75" x14ac:dyDescent="0.25">
      <c r="A154" s="1049"/>
      <c r="B154" s="82" t="s">
        <v>136</v>
      </c>
      <c r="C154" s="949"/>
      <c r="D154" s="58"/>
      <c r="E154" s="58"/>
      <c r="F154" s="19"/>
      <c r="G154" s="19"/>
      <c r="H154" s="19"/>
      <c r="I154" s="19"/>
      <c r="J154" s="19"/>
      <c r="K154" s="19"/>
      <c r="L154" s="22" t="s">
        <v>30</v>
      </c>
      <c r="N154" s="22">
        <v>0</v>
      </c>
      <c r="O154" s="26">
        <f>SUM(N154:N154)</f>
        <v>0</v>
      </c>
      <c r="P154" s="22">
        <v>0</v>
      </c>
    </row>
    <row r="155" spans="1:16" ht="31.5" x14ac:dyDescent="0.25">
      <c r="A155" s="1049"/>
      <c r="B155" s="82" t="s">
        <v>137</v>
      </c>
      <c r="C155" s="949"/>
      <c r="D155" s="19"/>
      <c r="E155" s="58"/>
      <c r="F155" s="19"/>
      <c r="G155" s="19"/>
      <c r="H155" s="19"/>
      <c r="I155" s="19"/>
      <c r="J155" s="19"/>
      <c r="K155" s="19"/>
      <c r="L155" s="22" t="s">
        <v>28</v>
      </c>
      <c r="N155" s="22">
        <v>20000</v>
      </c>
      <c r="O155" s="26">
        <f>SUM(N155:N155)</f>
        <v>20000</v>
      </c>
      <c r="P155" s="22">
        <v>15000</v>
      </c>
    </row>
    <row r="156" spans="1:16" ht="15.75" x14ac:dyDescent="0.25">
      <c r="A156" s="1049"/>
      <c r="B156" s="82" t="s">
        <v>138</v>
      </c>
      <c r="C156" s="949"/>
      <c r="D156" s="58"/>
      <c r="E156" s="58"/>
      <c r="F156" s="58"/>
      <c r="G156" s="58"/>
      <c r="H156" s="58"/>
      <c r="I156" s="58"/>
      <c r="J156" s="58"/>
      <c r="K156" s="58"/>
      <c r="L156" s="25" t="s">
        <v>27</v>
      </c>
      <c r="N156" s="25">
        <v>0</v>
      </c>
      <c r="O156" s="26">
        <f>SUM(N156:N156)</f>
        <v>0</v>
      </c>
      <c r="P156" s="25">
        <v>0</v>
      </c>
    </row>
    <row r="157" spans="1:16" ht="31.5" x14ac:dyDescent="0.25">
      <c r="A157" s="1049"/>
      <c r="B157" s="82"/>
      <c r="C157" s="950"/>
      <c r="D157" s="19"/>
      <c r="E157" s="19"/>
      <c r="F157" s="19"/>
      <c r="G157" s="19"/>
      <c r="H157" s="19"/>
      <c r="I157" s="19"/>
      <c r="J157" s="19"/>
      <c r="K157" s="19"/>
      <c r="L157" s="23" t="s">
        <v>25</v>
      </c>
      <c r="N157" s="23">
        <v>4430</v>
      </c>
      <c r="O157" s="26">
        <f>SUM(N157:N157)</f>
        <v>4430</v>
      </c>
      <c r="P157" s="23">
        <v>4430</v>
      </c>
    </row>
    <row r="158" spans="1:16" ht="15.75" x14ac:dyDescent="0.25">
      <c r="A158" s="20" t="s">
        <v>6</v>
      </c>
      <c r="B158" s="19"/>
      <c r="C158" s="19"/>
      <c r="D158" s="19"/>
      <c r="E158" s="19"/>
      <c r="F158" s="19"/>
      <c r="G158" s="19"/>
      <c r="H158" s="19"/>
      <c r="I158" s="19"/>
      <c r="J158" s="19"/>
      <c r="K158" s="19"/>
      <c r="L158" s="17"/>
      <c r="M158" s="17" t="e">
        <f>SUM('Secretariat work plan 2014 '!#REF!)</f>
        <v>#REF!</v>
      </c>
      <c r="N158" s="17">
        <f>SUM(N153:N157)</f>
        <v>212305</v>
      </c>
      <c r="O158" s="17">
        <f>SUM(O153:O157)</f>
        <v>212305</v>
      </c>
      <c r="P158" s="17">
        <f>SUM(P153:P157)</f>
        <v>182305</v>
      </c>
    </row>
    <row r="159" spans="1:16" ht="15.75" x14ac:dyDescent="0.25">
      <c r="A159" s="20" t="s">
        <v>5</v>
      </c>
      <c r="B159" s="19"/>
      <c r="C159" s="19"/>
      <c r="D159" s="19"/>
      <c r="E159" s="19"/>
      <c r="F159" s="19"/>
      <c r="G159" s="19"/>
      <c r="H159" s="19"/>
      <c r="I159" s="19"/>
      <c r="J159" s="19"/>
      <c r="K159" s="19"/>
      <c r="L159" s="17"/>
      <c r="M159" s="17" t="e">
        <f>0.07*M158</f>
        <v>#REF!</v>
      </c>
      <c r="N159" s="17">
        <f>0.07*N158</f>
        <v>14861.350000000002</v>
      </c>
      <c r="O159" s="17">
        <f>0.07*O158</f>
        <v>14861.350000000002</v>
      </c>
      <c r="P159" s="17">
        <f>0.07*P158</f>
        <v>12761.35</v>
      </c>
    </row>
    <row r="160" spans="1:16" ht="15.75" x14ac:dyDescent="0.25">
      <c r="A160" s="15" t="s">
        <v>4</v>
      </c>
      <c r="B160" s="14"/>
      <c r="C160" s="14"/>
      <c r="D160" s="14"/>
      <c r="E160" s="14"/>
      <c r="F160" s="14"/>
      <c r="G160" s="14"/>
      <c r="H160" s="14"/>
      <c r="I160" s="14"/>
      <c r="J160" s="14"/>
      <c r="K160" s="14"/>
      <c r="L160" s="13"/>
      <c r="M160" s="91" t="e">
        <f>M159+M158</f>
        <v>#REF!</v>
      </c>
      <c r="N160" s="91">
        <f>N159+N158</f>
        <v>227166.35</v>
      </c>
      <c r="O160" s="91">
        <f>O159+O158</f>
        <v>227166.35</v>
      </c>
      <c r="P160" s="91">
        <f>P159+P158</f>
        <v>195066.35</v>
      </c>
    </row>
    <row r="161" spans="1:16" ht="15.75" x14ac:dyDescent="0.25">
      <c r="A161" s="35" t="s">
        <v>0</v>
      </c>
      <c r="B161" s="34"/>
      <c r="C161" s="34"/>
      <c r="D161" s="34"/>
      <c r="E161" s="34"/>
      <c r="F161" s="34"/>
      <c r="G161" s="34"/>
      <c r="H161" s="34"/>
      <c r="I161" s="34"/>
      <c r="J161" s="34"/>
      <c r="K161" s="34"/>
      <c r="L161" s="33"/>
      <c r="M161" s="32" t="e">
        <f>M160+M152+M144+'Secretariat work plan 2014 '!#REF!+M133+M125</f>
        <v>#REF!</v>
      </c>
      <c r="N161" s="32" t="e">
        <f>N160+N152+N144+'Secretariat work plan 2014 '!#REF!+N133+N125</f>
        <v>#REF!</v>
      </c>
      <c r="O161" s="32" t="e">
        <f>O160+O152+O144+'Secretariat work plan 2014 '!#REF!+O133+O125</f>
        <v>#REF!</v>
      </c>
      <c r="P161" s="32" t="e">
        <f>P160+P152+P144+'Secretariat work plan 2014 '!#REF!+P133+P125</f>
        <v>#REF!</v>
      </c>
    </row>
    <row r="162" spans="1:16" ht="31.5" customHeight="1" x14ac:dyDescent="0.25">
      <c r="A162" s="1076" t="s">
        <v>76</v>
      </c>
      <c r="B162" s="1077"/>
      <c r="C162" s="67"/>
      <c r="D162" s="67"/>
      <c r="E162" s="67"/>
      <c r="F162" s="67"/>
      <c r="G162" s="67"/>
      <c r="H162" s="67"/>
      <c r="I162" s="67"/>
      <c r="J162" s="67"/>
      <c r="K162" s="67"/>
      <c r="L162" s="61"/>
      <c r="M162" s="61"/>
      <c r="N162" s="61"/>
      <c r="O162" s="61"/>
      <c r="P162" s="61"/>
    </row>
    <row r="163" spans="1:16" ht="48.75" customHeight="1" x14ac:dyDescent="0.25">
      <c r="A163" s="1061" t="s">
        <v>75</v>
      </c>
      <c r="B163" s="1062"/>
      <c r="C163" s="1101" t="s">
        <v>24</v>
      </c>
      <c r="D163" s="1093" t="s">
        <v>23</v>
      </c>
      <c r="E163" s="1094"/>
      <c r="F163" s="1094"/>
      <c r="G163" s="1095"/>
      <c r="H163" s="1093" t="s">
        <v>22</v>
      </c>
      <c r="I163" s="1094"/>
      <c r="J163" s="1094"/>
      <c r="K163" s="1095"/>
      <c r="L163" s="1093" t="s">
        <v>198</v>
      </c>
      <c r="M163" s="1094"/>
      <c r="N163" s="1094"/>
      <c r="O163" s="1094"/>
      <c r="P163" s="1095"/>
    </row>
    <row r="164" spans="1:16" ht="31.5" x14ac:dyDescent="0.25">
      <c r="A164" s="30" t="s">
        <v>21</v>
      </c>
      <c r="B164" s="30" t="s">
        <v>20</v>
      </c>
      <c r="C164" s="969"/>
      <c r="D164" s="29" t="s">
        <v>19</v>
      </c>
      <c r="E164" s="29" t="s">
        <v>18</v>
      </c>
      <c r="F164" s="29" t="s">
        <v>17</v>
      </c>
      <c r="G164" s="29" t="s">
        <v>16</v>
      </c>
      <c r="H164" s="29" t="s">
        <v>19</v>
      </c>
      <c r="I164" s="29" t="s">
        <v>18</v>
      </c>
      <c r="J164" s="29" t="s">
        <v>17</v>
      </c>
      <c r="K164" s="29" t="s">
        <v>16</v>
      </c>
      <c r="L164" s="28" t="s">
        <v>15</v>
      </c>
      <c r="M164" s="30" t="s">
        <v>14</v>
      </c>
      <c r="N164" s="30" t="s">
        <v>13</v>
      </c>
      <c r="O164" s="227" t="s">
        <v>221</v>
      </c>
      <c r="P164" s="29" t="s">
        <v>230</v>
      </c>
    </row>
    <row r="165" spans="1:16" ht="47.25" x14ac:dyDescent="0.25">
      <c r="A165" s="1049" t="s">
        <v>74</v>
      </c>
      <c r="B165" s="81" t="s">
        <v>73</v>
      </c>
      <c r="C165" s="948" t="s">
        <v>50</v>
      </c>
      <c r="D165" s="19"/>
      <c r="E165" s="19"/>
      <c r="F165" s="58"/>
      <c r="G165" s="58"/>
      <c r="H165" s="58"/>
      <c r="I165" s="58"/>
      <c r="J165" s="58"/>
      <c r="K165" s="58"/>
      <c r="L165" s="26" t="s">
        <v>32</v>
      </c>
      <c r="N165" s="26">
        <v>150467</v>
      </c>
      <c r="O165" s="26">
        <f>SUM(N165:N165)</f>
        <v>150467</v>
      </c>
      <c r="P165" s="26">
        <v>150467</v>
      </c>
    </row>
    <row r="166" spans="1:16" ht="38.25" customHeight="1" x14ac:dyDescent="0.25">
      <c r="A166" s="1049"/>
      <c r="B166" s="81" t="s">
        <v>72</v>
      </c>
      <c r="C166" s="949"/>
      <c r="D166" s="19"/>
      <c r="E166" s="58"/>
      <c r="F166" s="58"/>
      <c r="G166" s="58"/>
      <c r="H166" s="58"/>
      <c r="I166" s="58"/>
      <c r="J166" s="58"/>
      <c r="K166" s="58"/>
      <c r="L166" s="22" t="s">
        <v>30</v>
      </c>
      <c r="N166" s="22">
        <v>60000</v>
      </c>
      <c r="O166" s="26">
        <f>SUM(N166:N166)</f>
        <v>60000</v>
      </c>
      <c r="P166" s="22">
        <v>60000</v>
      </c>
    </row>
    <row r="167" spans="1:16" ht="68.25" customHeight="1" x14ac:dyDescent="0.25">
      <c r="A167" s="1049"/>
      <c r="B167" s="80" t="s">
        <v>71</v>
      </c>
      <c r="C167" s="949"/>
      <c r="D167" s="19"/>
      <c r="E167" s="19"/>
      <c r="F167" s="58"/>
      <c r="G167" s="58"/>
      <c r="H167" s="58"/>
      <c r="I167" s="58"/>
      <c r="J167" s="58"/>
      <c r="K167" s="58"/>
      <c r="L167" s="22" t="s">
        <v>28</v>
      </c>
      <c r="N167" s="22">
        <v>140000</v>
      </c>
      <c r="O167" s="26">
        <f>SUM(N167:N167)</f>
        <v>140000</v>
      </c>
      <c r="P167" s="22">
        <v>117454</v>
      </c>
    </row>
    <row r="168" spans="1:16" ht="47.25" x14ac:dyDescent="0.25">
      <c r="A168" s="1049"/>
      <c r="B168" s="71" t="s">
        <v>70</v>
      </c>
      <c r="C168" s="949"/>
      <c r="D168" s="19"/>
      <c r="E168" s="19"/>
      <c r="F168" s="19"/>
      <c r="G168" s="58"/>
      <c r="H168" s="19"/>
      <c r="I168" s="19"/>
      <c r="J168" s="19"/>
      <c r="K168" s="58"/>
      <c r="L168" s="25" t="s">
        <v>27</v>
      </c>
      <c r="N168" s="25">
        <v>0</v>
      </c>
      <c r="O168" s="26">
        <f>SUM(N168:N168)</f>
        <v>0</v>
      </c>
      <c r="P168" s="25">
        <v>0</v>
      </c>
    </row>
    <row r="169" spans="1:16" ht="49.5" customHeight="1" x14ac:dyDescent="0.25">
      <c r="A169" s="97"/>
      <c r="B169" s="71" t="s">
        <v>69</v>
      </c>
      <c r="C169" s="949"/>
      <c r="D169" s="58"/>
      <c r="E169" s="58"/>
      <c r="F169" s="58"/>
      <c r="G169" s="58"/>
      <c r="H169" s="58"/>
      <c r="I169" s="58"/>
      <c r="J169" s="58"/>
      <c r="K169" s="58"/>
      <c r="L169" s="23" t="s">
        <v>25</v>
      </c>
      <c r="N169" s="79">
        <v>2500</v>
      </c>
      <c r="O169" s="26">
        <f>SUM(N169:N169)</f>
        <v>2500</v>
      </c>
      <c r="P169" s="79">
        <v>2500</v>
      </c>
    </row>
    <row r="170" spans="1:16" ht="78.75" customHeight="1" x14ac:dyDescent="0.25">
      <c r="A170" s="97"/>
      <c r="B170" s="71" t="s">
        <v>68</v>
      </c>
      <c r="C170" s="950"/>
      <c r="D170" s="58"/>
      <c r="E170" s="58"/>
      <c r="F170" s="58"/>
      <c r="G170" s="58"/>
      <c r="H170" s="58"/>
      <c r="I170" s="58"/>
      <c r="J170" s="58"/>
      <c r="K170" s="58"/>
      <c r="L170" s="23"/>
      <c r="M170" s="79"/>
      <c r="N170" s="79"/>
      <c r="O170" s="17"/>
      <c r="P170" s="17"/>
    </row>
    <row r="171" spans="1:16" ht="15.75" x14ac:dyDescent="0.25">
      <c r="A171" s="20" t="s">
        <v>6</v>
      </c>
      <c r="B171" s="19"/>
      <c r="C171" s="19"/>
      <c r="D171" s="19"/>
      <c r="E171" s="19"/>
      <c r="F171" s="19"/>
      <c r="G171" s="19"/>
      <c r="H171" s="19"/>
      <c r="I171" s="19"/>
      <c r="J171" s="19"/>
      <c r="K171" s="19"/>
      <c r="L171" s="23"/>
      <c r="M171" s="23">
        <f>SUM(M170:M170)</f>
        <v>0</v>
      </c>
      <c r="N171" s="23">
        <f>SUM(N165:N170)</f>
        <v>352967</v>
      </c>
      <c r="O171" s="23">
        <f>SUM(O165:O170)</f>
        <v>352967</v>
      </c>
      <c r="P171" s="23">
        <f>SUM(P165:P170)</f>
        <v>330421</v>
      </c>
    </row>
    <row r="172" spans="1:16" ht="15.75" x14ac:dyDescent="0.25">
      <c r="A172" s="20" t="s">
        <v>5</v>
      </c>
      <c r="B172" s="19"/>
      <c r="C172" s="19"/>
      <c r="D172" s="19"/>
      <c r="E172" s="19"/>
      <c r="F172" s="19"/>
      <c r="G172" s="19"/>
      <c r="H172" s="19"/>
      <c r="I172" s="19"/>
      <c r="J172" s="19"/>
      <c r="K172" s="19"/>
      <c r="L172" s="17"/>
      <c r="M172" s="17">
        <f>M171*0.07</f>
        <v>0</v>
      </c>
      <c r="N172" s="17">
        <f>N171*0.07</f>
        <v>24707.690000000002</v>
      </c>
      <c r="O172" s="17">
        <f>O171*0.07</f>
        <v>24707.690000000002</v>
      </c>
      <c r="P172" s="17">
        <f>P171*0.07</f>
        <v>23129.47</v>
      </c>
    </row>
    <row r="173" spans="1:16" ht="15.75" x14ac:dyDescent="0.25">
      <c r="A173" s="15" t="s">
        <v>4</v>
      </c>
      <c r="B173" s="14"/>
      <c r="C173" s="14"/>
      <c r="D173" s="14"/>
      <c r="E173" s="14"/>
      <c r="F173" s="14"/>
      <c r="G173" s="14"/>
      <c r="H173" s="14"/>
      <c r="I173" s="14"/>
      <c r="J173" s="14"/>
      <c r="K173" s="14"/>
      <c r="L173" s="13"/>
      <c r="M173" s="91">
        <f>SUM(M171:M172)</f>
        <v>0</v>
      </c>
      <c r="N173" s="91">
        <f>SUM(N171:N172)</f>
        <v>377674.69</v>
      </c>
      <c r="O173" s="91">
        <f>SUM(O171:O172)</f>
        <v>377674.69</v>
      </c>
      <c r="P173" s="91">
        <f>SUM(P171:P172)</f>
        <v>353550.47</v>
      </c>
    </row>
    <row r="174" spans="1:16" ht="72" customHeight="1" x14ac:dyDescent="0.25">
      <c r="A174" s="977" t="s">
        <v>67</v>
      </c>
      <c r="B174" s="73" t="s">
        <v>66</v>
      </c>
      <c r="C174" s="948" t="s">
        <v>50</v>
      </c>
      <c r="D174" s="58"/>
      <c r="E174" s="58"/>
      <c r="F174" s="19"/>
      <c r="G174" s="19"/>
      <c r="H174" s="58"/>
      <c r="I174" s="58"/>
      <c r="J174" s="19"/>
      <c r="K174" s="19"/>
      <c r="L174" s="26" t="s">
        <v>32</v>
      </c>
      <c r="N174" s="26">
        <v>150467</v>
      </c>
      <c r="O174" s="26">
        <f>SUM(N174:N174)</f>
        <v>150467</v>
      </c>
      <c r="P174" s="26">
        <v>150467</v>
      </c>
    </row>
    <row r="175" spans="1:16" ht="24.75" customHeight="1" x14ac:dyDescent="0.25">
      <c r="A175" s="978"/>
      <c r="B175" s="1097" t="s">
        <v>65</v>
      </c>
      <c r="C175" s="949"/>
      <c r="D175" s="19"/>
      <c r="E175" s="19"/>
      <c r="F175" s="1099"/>
      <c r="G175" s="1099"/>
      <c r="H175" s="19"/>
      <c r="I175" s="19"/>
      <c r="J175" s="1099"/>
      <c r="K175" s="1099"/>
      <c r="L175" s="22" t="s">
        <v>30</v>
      </c>
      <c r="N175" s="22">
        <v>110000</v>
      </c>
      <c r="O175" s="26">
        <f>SUM(N175:N175)</f>
        <v>110000</v>
      </c>
      <c r="P175" s="22">
        <v>90000</v>
      </c>
    </row>
    <row r="176" spans="1:16" ht="40.5" customHeight="1" x14ac:dyDescent="0.25">
      <c r="A176" s="1096"/>
      <c r="B176" s="1098"/>
      <c r="C176" s="949"/>
      <c r="D176" s="19"/>
      <c r="E176" s="19"/>
      <c r="F176" s="1100"/>
      <c r="G176" s="1100"/>
      <c r="H176" s="19"/>
      <c r="I176" s="19"/>
      <c r="J176" s="1100"/>
      <c r="K176" s="1100"/>
      <c r="L176" s="22" t="s">
        <v>28</v>
      </c>
      <c r="N176" s="22">
        <v>80000</v>
      </c>
      <c r="O176" s="26">
        <f>SUM(N176:N176)</f>
        <v>80000</v>
      </c>
      <c r="P176" s="22">
        <v>80000</v>
      </c>
    </row>
    <row r="177" spans="1:16" ht="31.5" x14ac:dyDescent="0.25">
      <c r="A177" s="102"/>
      <c r="B177" s="103"/>
      <c r="C177" s="950"/>
      <c r="D177" s="19"/>
      <c r="E177" s="19"/>
      <c r="F177" s="50"/>
      <c r="G177" s="50"/>
      <c r="H177" s="50"/>
      <c r="I177" s="50"/>
      <c r="J177" s="50"/>
      <c r="K177" s="50"/>
      <c r="L177" s="23" t="s">
        <v>25</v>
      </c>
      <c r="N177" s="23">
        <v>2500</v>
      </c>
      <c r="O177" s="26">
        <f>SUM(N177:N177)</f>
        <v>2500</v>
      </c>
      <c r="P177" s="83">
        <v>2500</v>
      </c>
    </row>
    <row r="178" spans="1:16" ht="15.75" x14ac:dyDescent="0.25">
      <c r="A178" s="20" t="s">
        <v>6</v>
      </c>
      <c r="B178" s="103"/>
      <c r="C178" s="78"/>
      <c r="D178" s="19"/>
      <c r="E178" s="19"/>
      <c r="F178" s="50"/>
      <c r="G178" s="50"/>
      <c r="H178" s="50"/>
      <c r="I178" s="50"/>
      <c r="J178" s="50"/>
      <c r="K178" s="50"/>
      <c r="L178" s="77"/>
      <c r="M178" s="22" t="e">
        <f>SUM('Secretariat work plan 2014 '!#REF!)</f>
        <v>#REF!</v>
      </c>
      <c r="N178" s="22">
        <f>SUM(N174:N177)</f>
        <v>342967</v>
      </c>
      <c r="O178" s="22">
        <f>SUM(O174:O177)</f>
        <v>342967</v>
      </c>
      <c r="P178" s="22">
        <f>SUM(P174:P177)</f>
        <v>322967</v>
      </c>
    </row>
    <row r="179" spans="1:16" ht="15.75" x14ac:dyDescent="0.25">
      <c r="A179" s="20" t="s">
        <v>5</v>
      </c>
      <c r="B179" s="103"/>
      <c r="C179" s="78"/>
      <c r="D179" s="19"/>
      <c r="E179" s="19"/>
      <c r="F179" s="50"/>
      <c r="G179" s="50"/>
      <c r="H179" s="50"/>
      <c r="I179" s="50"/>
      <c r="J179" s="50"/>
      <c r="K179" s="50"/>
      <c r="L179" s="77"/>
      <c r="M179" s="22" t="e">
        <f>0.07*M178</f>
        <v>#REF!</v>
      </c>
      <c r="N179" s="22">
        <f>0.07*N178</f>
        <v>24007.690000000002</v>
      </c>
      <c r="O179" s="22">
        <f>0.07*O178</f>
        <v>24007.690000000002</v>
      </c>
      <c r="P179" s="22">
        <f>0.07*P178</f>
        <v>22607.690000000002</v>
      </c>
    </row>
    <row r="180" spans="1:16" ht="15.75" x14ac:dyDescent="0.25">
      <c r="A180" s="15" t="s">
        <v>4</v>
      </c>
      <c r="B180" s="76"/>
      <c r="C180" s="75"/>
      <c r="D180" s="14"/>
      <c r="E180" s="14"/>
      <c r="F180" s="14"/>
      <c r="G180" s="14"/>
      <c r="H180" s="14"/>
      <c r="I180" s="14"/>
      <c r="J180" s="14"/>
      <c r="K180" s="14"/>
      <c r="L180" s="74"/>
      <c r="M180" s="74" t="e">
        <f>M179+M178</f>
        <v>#REF!</v>
      </c>
      <c r="N180" s="74">
        <f>N179+N178</f>
        <v>366974.69</v>
      </c>
      <c r="O180" s="74">
        <f>O179+O178</f>
        <v>366974.69</v>
      </c>
      <c r="P180" s="74">
        <f>P179+P178</f>
        <v>345574.69</v>
      </c>
    </row>
    <row r="181" spans="1:16" ht="78.75" x14ac:dyDescent="0.25">
      <c r="A181" s="1078" t="s">
        <v>64</v>
      </c>
      <c r="B181" s="73" t="s">
        <v>63</v>
      </c>
      <c r="C181" s="948" t="s">
        <v>50</v>
      </c>
      <c r="D181" s="19"/>
      <c r="E181" s="19"/>
      <c r="F181" s="19"/>
      <c r="G181" s="58"/>
      <c r="H181" s="58"/>
      <c r="I181" s="19"/>
      <c r="J181" s="19"/>
      <c r="K181" s="58"/>
      <c r="L181" s="26" t="s">
        <v>32</v>
      </c>
      <c r="N181" s="26">
        <v>375230</v>
      </c>
      <c r="O181" s="26">
        <f>SUM(N181:N181)</f>
        <v>375230</v>
      </c>
      <c r="P181" s="26">
        <v>375230</v>
      </c>
    </row>
    <row r="182" spans="1:16" ht="47.25" x14ac:dyDescent="0.25">
      <c r="A182" s="1079"/>
      <c r="B182" s="71" t="s">
        <v>62</v>
      </c>
      <c r="C182" s="949"/>
      <c r="D182" s="19"/>
      <c r="E182" s="19"/>
      <c r="F182" s="58"/>
      <c r="G182" s="58"/>
      <c r="H182" s="58"/>
      <c r="I182" s="58"/>
      <c r="J182" s="19"/>
      <c r="K182" s="19"/>
      <c r="L182" s="22" t="s">
        <v>30</v>
      </c>
      <c r="N182" s="22">
        <v>40000</v>
      </c>
      <c r="O182" s="26">
        <f>SUM(N182:N182)</f>
        <v>40000</v>
      </c>
      <c r="P182" s="22">
        <v>20000</v>
      </c>
    </row>
    <row r="183" spans="1:16" ht="31.5" x14ac:dyDescent="0.25">
      <c r="A183" s="1079"/>
      <c r="B183" s="73"/>
      <c r="C183" s="949"/>
      <c r="D183" s="19"/>
      <c r="E183" s="19"/>
      <c r="F183" s="19"/>
      <c r="G183" s="19"/>
      <c r="H183" s="19"/>
      <c r="I183" s="19"/>
      <c r="J183" s="19"/>
      <c r="K183" s="19"/>
      <c r="L183" s="22" t="s">
        <v>28</v>
      </c>
      <c r="N183" s="22">
        <v>140000</v>
      </c>
      <c r="O183" s="26">
        <f>SUM(N183:N183)</f>
        <v>140000</v>
      </c>
      <c r="P183" s="22">
        <v>100000</v>
      </c>
    </row>
    <row r="184" spans="1:16" ht="15.75" x14ac:dyDescent="0.25">
      <c r="A184" s="1079"/>
      <c r="B184" s="72"/>
      <c r="C184" s="949"/>
      <c r="D184" s="19"/>
      <c r="E184" s="19"/>
      <c r="F184" s="19"/>
      <c r="G184" s="19"/>
      <c r="H184" s="19"/>
      <c r="I184" s="19"/>
      <c r="J184" s="19"/>
      <c r="K184" s="19"/>
      <c r="L184" s="25" t="s">
        <v>27</v>
      </c>
      <c r="N184" s="25">
        <v>0</v>
      </c>
      <c r="O184" s="26">
        <f>SUM(N184:N184)</f>
        <v>0</v>
      </c>
      <c r="P184" s="25">
        <v>0</v>
      </c>
    </row>
    <row r="185" spans="1:16" ht="31.5" x14ac:dyDescent="0.25">
      <c r="A185" s="1080"/>
      <c r="B185" s="19"/>
      <c r="C185" s="950"/>
      <c r="D185" s="19"/>
      <c r="E185" s="19"/>
      <c r="F185" s="19"/>
      <c r="G185" s="19"/>
      <c r="H185" s="19"/>
      <c r="I185" s="19"/>
      <c r="J185" s="19"/>
      <c r="K185" s="19"/>
      <c r="L185" s="23" t="s">
        <v>25</v>
      </c>
      <c r="N185" s="23">
        <v>9000</v>
      </c>
      <c r="O185" s="26">
        <f>SUM(N185:N185)</f>
        <v>9000</v>
      </c>
      <c r="P185" s="23">
        <v>9000</v>
      </c>
    </row>
    <row r="186" spans="1:16" ht="15.75" x14ac:dyDescent="0.25">
      <c r="A186" s="20" t="s">
        <v>6</v>
      </c>
      <c r="B186" s="19"/>
      <c r="C186" s="19"/>
      <c r="D186" s="19"/>
      <c r="E186" s="19"/>
      <c r="F186" s="19"/>
      <c r="G186" s="19"/>
      <c r="H186" s="19"/>
      <c r="I186" s="19"/>
      <c r="J186" s="19"/>
      <c r="K186" s="19"/>
      <c r="L186" s="17"/>
      <c r="M186" s="17" t="e">
        <f>SUM('Secretariat work plan 2014 '!#REF!)</f>
        <v>#REF!</v>
      </c>
      <c r="N186" s="17">
        <f>SUM(N181:N185)</f>
        <v>564230</v>
      </c>
      <c r="O186" s="17">
        <f>SUM(O181:O185)</f>
        <v>564230</v>
      </c>
      <c r="P186" s="17">
        <f>SUM(P181:P185)</f>
        <v>504230</v>
      </c>
    </row>
    <row r="187" spans="1:16" ht="15.75" x14ac:dyDescent="0.25">
      <c r="A187" s="20" t="s">
        <v>5</v>
      </c>
      <c r="B187" s="19"/>
      <c r="C187" s="19"/>
      <c r="D187" s="19"/>
      <c r="E187" s="19"/>
      <c r="F187" s="19"/>
      <c r="G187" s="19"/>
      <c r="H187" s="19"/>
      <c r="I187" s="19"/>
      <c r="J187" s="19"/>
      <c r="K187" s="19"/>
      <c r="L187" s="17"/>
      <c r="M187" s="17" t="e">
        <f>0.07*M186</f>
        <v>#REF!</v>
      </c>
      <c r="N187" s="17">
        <f>0.07*N186</f>
        <v>39496.100000000006</v>
      </c>
      <c r="O187" s="17">
        <f>0.07*O186</f>
        <v>39496.100000000006</v>
      </c>
      <c r="P187" s="17">
        <f>0.07*P186</f>
        <v>35296.100000000006</v>
      </c>
    </row>
    <row r="188" spans="1:16" ht="15.75" x14ac:dyDescent="0.25">
      <c r="A188" s="15" t="s">
        <v>4</v>
      </c>
      <c r="B188" s="14"/>
      <c r="C188" s="14"/>
      <c r="D188" s="14"/>
      <c r="E188" s="14"/>
      <c r="F188" s="14"/>
      <c r="G188" s="14"/>
      <c r="H188" s="14"/>
      <c r="I188" s="14"/>
      <c r="J188" s="14"/>
      <c r="K188" s="14"/>
      <c r="L188" s="13"/>
      <c r="M188" s="91" t="e">
        <f>M187+M186</f>
        <v>#REF!</v>
      </c>
      <c r="N188" s="91">
        <f>N187+N186</f>
        <v>603726.1</v>
      </c>
      <c r="O188" s="91">
        <f>O187+O186</f>
        <v>603726.1</v>
      </c>
      <c r="P188" s="91">
        <f>P187+P186</f>
        <v>539526.1</v>
      </c>
    </row>
    <row r="189" spans="1:16" ht="63" x14ac:dyDescent="0.25">
      <c r="A189" s="1081" t="s">
        <v>61</v>
      </c>
      <c r="B189" s="71" t="s">
        <v>60</v>
      </c>
      <c r="C189" s="948" t="s">
        <v>50</v>
      </c>
      <c r="D189" s="19"/>
      <c r="E189" s="19"/>
      <c r="F189" s="19"/>
      <c r="G189" s="58"/>
      <c r="H189" s="58"/>
      <c r="I189" s="19"/>
      <c r="J189" s="19"/>
      <c r="K189" s="58"/>
      <c r="L189" s="26" t="s">
        <v>32</v>
      </c>
      <c r="N189" s="26">
        <v>375230</v>
      </c>
      <c r="O189" s="26">
        <f>SUM(N189:N189)</f>
        <v>375230</v>
      </c>
      <c r="P189" s="26">
        <v>375230</v>
      </c>
    </row>
    <row r="190" spans="1:16" ht="63" x14ac:dyDescent="0.25">
      <c r="A190" s="1082"/>
      <c r="B190" s="71" t="s">
        <v>139</v>
      </c>
      <c r="C190" s="949"/>
      <c r="D190" s="58"/>
      <c r="E190" s="58"/>
      <c r="F190" s="58"/>
      <c r="G190" s="58"/>
      <c r="H190" s="58"/>
      <c r="I190" s="58"/>
      <c r="J190" s="58"/>
      <c r="K190" s="58"/>
      <c r="L190" s="22" t="s">
        <v>30</v>
      </c>
      <c r="N190" s="22">
        <v>40000</v>
      </c>
      <c r="O190" s="26">
        <f>SUM(N190:N190)</f>
        <v>40000</v>
      </c>
      <c r="P190" s="22">
        <v>60000</v>
      </c>
    </row>
    <row r="191" spans="1:16" ht="31.5" x14ac:dyDescent="0.25">
      <c r="A191" s="1082"/>
      <c r="B191" s="71" t="s">
        <v>59</v>
      </c>
      <c r="C191" s="949"/>
      <c r="D191" s="19"/>
      <c r="E191" s="19"/>
      <c r="F191" s="19"/>
      <c r="G191" s="58"/>
      <c r="H191" s="19"/>
      <c r="I191" s="58"/>
      <c r="J191" s="19"/>
      <c r="K191" s="58"/>
      <c r="L191" s="22" t="s">
        <v>28</v>
      </c>
      <c r="N191" s="22">
        <v>60000</v>
      </c>
      <c r="O191" s="26">
        <f>SUM(N191:N191)</f>
        <v>60000</v>
      </c>
      <c r="P191" s="22">
        <v>60000</v>
      </c>
    </row>
    <row r="192" spans="1:16" ht="15.75" x14ac:dyDescent="0.25">
      <c r="A192" s="1082"/>
      <c r="B192" s="19"/>
      <c r="C192" s="949"/>
      <c r="D192" s="19"/>
      <c r="E192" s="19"/>
      <c r="F192" s="19"/>
      <c r="G192" s="19"/>
      <c r="H192" s="19"/>
      <c r="I192" s="19"/>
      <c r="J192" s="19"/>
      <c r="K192" s="19"/>
      <c r="L192" s="25" t="s">
        <v>27</v>
      </c>
      <c r="N192" s="25">
        <v>0</v>
      </c>
      <c r="O192" s="26">
        <f>SUM(N192:N192)</f>
        <v>0</v>
      </c>
      <c r="P192" s="25">
        <v>0</v>
      </c>
    </row>
    <row r="193" spans="1:16" ht="31.5" x14ac:dyDescent="0.25">
      <c r="A193" s="1083"/>
      <c r="B193" s="19"/>
      <c r="C193" s="950"/>
      <c r="D193" s="19"/>
      <c r="E193" s="19"/>
      <c r="F193" s="19"/>
      <c r="G193" s="19"/>
      <c r="H193" s="19"/>
      <c r="I193" s="19"/>
      <c r="J193" s="19"/>
      <c r="K193" s="19"/>
      <c r="L193" s="23" t="s">
        <v>25</v>
      </c>
      <c r="N193" s="23">
        <v>9000</v>
      </c>
      <c r="O193" s="26">
        <f>SUM(N193:N193)</f>
        <v>9000</v>
      </c>
      <c r="P193" s="23">
        <v>9000</v>
      </c>
    </row>
    <row r="194" spans="1:16" ht="15.75" x14ac:dyDescent="0.25">
      <c r="A194" s="20" t="s">
        <v>6</v>
      </c>
      <c r="B194" s="19"/>
      <c r="C194" s="19"/>
      <c r="D194" s="19"/>
      <c r="E194" s="19"/>
      <c r="F194" s="19"/>
      <c r="G194" s="19"/>
      <c r="H194" s="19"/>
      <c r="I194" s="19"/>
      <c r="J194" s="19"/>
      <c r="K194" s="19"/>
      <c r="L194" s="17"/>
      <c r="M194" s="17" t="e">
        <f>SUM('Secretariat work plan 2014 '!#REF!)</f>
        <v>#REF!</v>
      </c>
      <c r="N194" s="17">
        <f>SUM(N189:N193)</f>
        <v>484230</v>
      </c>
      <c r="O194" s="17">
        <f>SUM(O189:O193)</f>
        <v>484230</v>
      </c>
      <c r="P194" s="17">
        <f>SUM(P189:P193)</f>
        <v>504230</v>
      </c>
    </row>
    <row r="195" spans="1:16" ht="15.75" x14ac:dyDescent="0.25">
      <c r="A195" s="20" t="s">
        <v>5</v>
      </c>
      <c r="B195" s="19"/>
      <c r="C195" s="19"/>
      <c r="D195" s="19"/>
      <c r="E195" s="19"/>
      <c r="F195" s="19"/>
      <c r="G195" s="19"/>
      <c r="H195" s="19"/>
      <c r="I195" s="19"/>
      <c r="J195" s="19"/>
      <c r="K195" s="19"/>
      <c r="L195" s="17"/>
      <c r="M195" s="17" t="e">
        <f>M194*0.07</f>
        <v>#REF!</v>
      </c>
      <c r="N195" s="17">
        <f>N194*0.07</f>
        <v>33896.100000000006</v>
      </c>
      <c r="O195" s="17">
        <f>O194*0.07</f>
        <v>33896.100000000006</v>
      </c>
      <c r="P195" s="17">
        <f>P194*0.07</f>
        <v>35296.100000000006</v>
      </c>
    </row>
    <row r="196" spans="1:16" ht="15.75" x14ac:dyDescent="0.25">
      <c r="A196" s="15" t="s">
        <v>4</v>
      </c>
      <c r="B196" s="14"/>
      <c r="C196" s="14"/>
      <c r="D196" s="14"/>
      <c r="E196" s="14"/>
      <c r="F196" s="14"/>
      <c r="G196" s="14"/>
      <c r="H196" s="14"/>
      <c r="I196" s="14"/>
      <c r="J196" s="14"/>
      <c r="K196" s="14"/>
      <c r="L196" s="13"/>
      <c r="M196" s="91" t="e">
        <f>M195+M194</f>
        <v>#REF!</v>
      </c>
      <c r="N196" s="91">
        <f>N195+N194</f>
        <v>518126.1</v>
      </c>
      <c r="O196" s="91">
        <f>O195+O194</f>
        <v>518126.1</v>
      </c>
      <c r="P196" s="91">
        <f>P195+P194</f>
        <v>539526.1</v>
      </c>
    </row>
    <row r="197" spans="1:16" ht="75" customHeight="1" x14ac:dyDescent="0.25">
      <c r="A197" s="1087" t="s">
        <v>140</v>
      </c>
      <c r="B197" s="147" t="s">
        <v>232</v>
      </c>
      <c r="C197" s="1090" t="s">
        <v>111</v>
      </c>
      <c r="D197" s="148"/>
      <c r="E197" s="148"/>
      <c r="F197" s="148"/>
      <c r="G197" s="148"/>
      <c r="H197" s="148"/>
      <c r="I197" s="148"/>
      <c r="J197" s="148"/>
      <c r="K197" s="148"/>
      <c r="L197" s="26" t="s">
        <v>32</v>
      </c>
      <c r="N197" s="56">
        <f>0.35*326000</f>
        <v>114100</v>
      </c>
      <c r="O197" s="56">
        <f>SUM(N197:N197)</f>
        <v>114100</v>
      </c>
      <c r="P197" s="43">
        <v>117500</v>
      </c>
    </row>
    <row r="198" spans="1:16" ht="47.25" x14ac:dyDescent="0.25">
      <c r="A198" s="1088"/>
      <c r="B198" s="147" t="s">
        <v>141</v>
      </c>
      <c r="C198" s="1091"/>
      <c r="D198" s="148"/>
      <c r="E198" s="148"/>
      <c r="F198" s="148"/>
      <c r="G198" s="148"/>
      <c r="H198" s="148"/>
      <c r="I198" s="148"/>
      <c r="J198" s="148"/>
      <c r="K198" s="148"/>
      <c r="L198" s="22" t="s">
        <v>30</v>
      </c>
      <c r="N198" s="56">
        <f>0.3*326000</f>
        <v>97800</v>
      </c>
      <c r="O198" s="56">
        <f>SUM(N198:N198)</f>
        <v>97800</v>
      </c>
      <c r="P198" s="43">
        <v>50000</v>
      </c>
    </row>
    <row r="199" spans="1:16" ht="64.5" customHeight="1" x14ac:dyDescent="0.25">
      <c r="A199" s="1088"/>
      <c r="B199" s="149" t="s">
        <v>233</v>
      </c>
      <c r="C199" s="1091"/>
      <c r="D199" s="110"/>
      <c r="E199" s="148"/>
      <c r="F199" s="148"/>
      <c r="G199" s="148"/>
      <c r="H199" s="148"/>
      <c r="I199" s="148"/>
      <c r="J199" s="148"/>
      <c r="K199" s="148"/>
      <c r="L199" s="22" t="s">
        <v>28</v>
      </c>
      <c r="N199" s="56">
        <f>0.25*326000</f>
        <v>81500</v>
      </c>
      <c r="O199" s="56">
        <f>SUM(N199:N199)</f>
        <v>81500</v>
      </c>
      <c r="P199" s="43">
        <v>73000</v>
      </c>
    </row>
    <row r="200" spans="1:16" ht="15.75" x14ac:dyDescent="0.25">
      <c r="A200" s="1089"/>
      <c r="B200" s="149" t="s">
        <v>234</v>
      </c>
      <c r="C200" s="1091"/>
      <c r="D200" s="110"/>
      <c r="E200" s="148"/>
      <c r="F200" s="148"/>
      <c r="G200" s="148"/>
      <c r="H200" s="148"/>
      <c r="I200" s="148"/>
      <c r="J200" s="148"/>
      <c r="K200" s="148"/>
      <c r="L200" s="25" t="s">
        <v>27</v>
      </c>
      <c r="N200" s="56">
        <f>0.05*326000</f>
        <v>16300</v>
      </c>
      <c r="O200" s="56">
        <f>SUM(N200:N200)</f>
        <v>16300</v>
      </c>
      <c r="P200" s="43">
        <v>15200</v>
      </c>
    </row>
    <row r="201" spans="1:16" ht="19.5" customHeight="1" x14ac:dyDescent="0.25">
      <c r="A201" s="150"/>
      <c r="B201" s="151"/>
      <c r="C201" s="1091"/>
      <c r="D201" s="50"/>
      <c r="E201" s="50"/>
      <c r="F201" s="50"/>
      <c r="G201" s="50"/>
      <c r="H201" s="50"/>
      <c r="I201" s="50"/>
      <c r="J201" s="50"/>
      <c r="K201" s="50"/>
      <c r="L201" s="23" t="s">
        <v>25</v>
      </c>
      <c r="N201" s="56">
        <f>326000*0.05</f>
        <v>16300</v>
      </c>
      <c r="O201" s="56">
        <f>SUM(N201:N201)</f>
        <v>16300</v>
      </c>
      <c r="P201" s="43">
        <v>15200</v>
      </c>
    </row>
    <row r="202" spans="1:16" ht="19.5" customHeight="1" x14ac:dyDescent="0.25">
      <c r="A202" s="150" t="s">
        <v>6</v>
      </c>
      <c r="B202" s="151"/>
      <c r="C202" s="1091"/>
      <c r="D202" s="50"/>
      <c r="E202" s="50"/>
      <c r="F202" s="50"/>
      <c r="G202" s="50"/>
      <c r="H202" s="50"/>
      <c r="I202" s="50"/>
      <c r="J202" s="50"/>
      <c r="K202" s="50"/>
      <c r="L202" s="83"/>
      <c r="M202" s="56" t="e">
        <f>SUM('Secretariat work plan 2014 '!#REF!)</f>
        <v>#REF!</v>
      </c>
      <c r="N202" s="56">
        <f>SUM(N197:N201)</f>
        <v>326000</v>
      </c>
      <c r="O202" s="56">
        <f>SUM(O197:O201)</f>
        <v>326000</v>
      </c>
      <c r="P202" s="56">
        <f>SUM(P197:P201)</f>
        <v>270900</v>
      </c>
    </row>
    <row r="203" spans="1:16" ht="15.75" x14ac:dyDescent="0.25">
      <c r="A203" s="150" t="s">
        <v>5</v>
      </c>
      <c r="B203" s="151"/>
      <c r="C203" s="1092"/>
      <c r="D203" s="50"/>
      <c r="E203" s="50"/>
      <c r="F203" s="50"/>
      <c r="G203" s="50"/>
      <c r="H203" s="50"/>
      <c r="I203" s="50"/>
      <c r="J203" s="50"/>
      <c r="K203" s="50"/>
      <c r="L203" s="56"/>
      <c r="M203" s="56" t="e">
        <f>0.07*M202</f>
        <v>#REF!</v>
      </c>
      <c r="N203" s="56">
        <f>0.07*N202</f>
        <v>22820.000000000004</v>
      </c>
      <c r="O203" s="56">
        <f>0.07*O202</f>
        <v>22820.000000000004</v>
      </c>
      <c r="P203" s="56">
        <f>0.07*P202</f>
        <v>18963</v>
      </c>
    </row>
    <row r="204" spans="1:16" ht="15.75" x14ac:dyDescent="0.25">
      <c r="A204" s="153" t="s">
        <v>4</v>
      </c>
      <c r="B204" s="154"/>
      <c r="C204" s="155"/>
      <c r="D204" s="14"/>
      <c r="E204" s="14"/>
      <c r="F204" s="14"/>
      <c r="G204" s="14"/>
      <c r="H204" s="14"/>
      <c r="I204" s="14"/>
      <c r="J204" s="14"/>
      <c r="K204" s="14"/>
      <c r="L204" s="13"/>
      <c r="M204" s="91" t="e">
        <f>M203+M202</f>
        <v>#REF!</v>
      </c>
      <c r="N204" s="91">
        <f>N203+N202</f>
        <v>348820</v>
      </c>
      <c r="O204" s="91">
        <f>O203+O202</f>
        <v>348820</v>
      </c>
      <c r="P204" s="91">
        <f>P203+P202</f>
        <v>289863</v>
      </c>
    </row>
    <row r="205" spans="1:16" ht="15.75" x14ac:dyDescent="0.25">
      <c r="A205" s="35" t="s">
        <v>0</v>
      </c>
      <c r="B205" s="34"/>
      <c r="C205" s="34"/>
      <c r="D205" s="34"/>
      <c r="E205" s="34"/>
      <c r="F205" s="34"/>
      <c r="G205" s="34"/>
      <c r="H205" s="34"/>
      <c r="I205" s="34"/>
      <c r="J205" s="34"/>
      <c r="K205" s="34"/>
      <c r="L205" s="33"/>
      <c r="M205" s="32" t="e">
        <f>M204+M196+M188+M180+M173</f>
        <v>#REF!</v>
      </c>
      <c r="N205" s="32">
        <f>N204+N196+N188+N180+N173</f>
        <v>2215321.58</v>
      </c>
      <c r="O205" s="32">
        <f>O204+O196+O188+O180+O173</f>
        <v>2215321.58</v>
      </c>
      <c r="P205" s="32">
        <f>P204+P196+P188+P180+P173</f>
        <v>2068040.3599999999</v>
      </c>
    </row>
    <row r="206" spans="1:16" ht="31.5" x14ac:dyDescent="0.25">
      <c r="A206" s="70" t="s">
        <v>58</v>
      </c>
      <c r="B206" s="67"/>
      <c r="C206" s="67"/>
      <c r="D206" s="67"/>
      <c r="E206" s="67"/>
      <c r="F206" s="67"/>
      <c r="G206" s="67"/>
      <c r="H206" s="67"/>
      <c r="I206" s="67"/>
      <c r="J206" s="67"/>
      <c r="K206" s="67"/>
      <c r="L206" s="61"/>
      <c r="M206" s="61"/>
      <c r="N206" s="61"/>
      <c r="O206" s="61"/>
      <c r="P206" s="61"/>
    </row>
    <row r="207" spans="1:16" ht="33.75" customHeight="1" x14ac:dyDescent="0.25">
      <c r="A207" s="971" t="s">
        <v>57</v>
      </c>
      <c r="B207" s="971"/>
      <c r="C207" s="970" t="s">
        <v>24</v>
      </c>
      <c r="D207" s="963" t="s">
        <v>23</v>
      </c>
      <c r="E207" s="963"/>
      <c r="F207" s="963"/>
      <c r="G207" s="963"/>
      <c r="H207" s="963" t="s">
        <v>22</v>
      </c>
      <c r="I207" s="963"/>
      <c r="J207" s="963"/>
      <c r="K207" s="963"/>
      <c r="L207" s="963" t="s">
        <v>198</v>
      </c>
      <c r="M207" s="963"/>
      <c r="N207" s="963"/>
      <c r="O207" s="963"/>
      <c r="P207" s="963"/>
    </row>
    <row r="208" spans="1:16" ht="31.5" x14ac:dyDescent="0.25">
      <c r="A208" s="30" t="s">
        <v>21</v>
      </c>
      <c r="B208" s="30" t="s">
        <v>20</v>
      </c>
      <c r="C208" s="970"/>
      <c r="D208" s="29" t="s">
        <v>19</v>
      </c>
      <c r="E208" s="29" t="s">
        <v>18</v>
      </c>
      <c r="F208" s="29" t="s">
        <v>17</v>
      </c>
      <c r="G208" s="29" t="s">
        <v>16</v>
      </c>
      <c r="H208" s="29" t="s">
        <v>19</v>
      </c>
      <c r="I208" s="29" t="s">
        <v>18</v>
      </c>
      <c r="J208" s="29" t="s">
        <v>17</v>
      </c>
      <c r="K208" s="29" t="s">
        <v>16</v>
      </c>
      <c r="L208" s="28" t="s">
        <v>15</v>
      </c>
      <c r="M208" s="30" t="s">
        <v>14</v>
      </c>
      <c r="N208" s="30" t="s">
        <v>13</v>
      </c>
      <c r="O208" s="227" t="s">
        <v>221</v>
      </c>
      <c r="P208" s="29" t="s">
        <v>230</v>
      </c>
    </row>
    <row r="209" spans="1:16" ht="70.5" customHeight="1" x14ac:dyDescent="0.25">
      <c r="A209" s="1065" t="s">
        <v>235</v>
      </c>
      <c r="B209" s="156" t="s">
        <v>236</v>
      </c>
      <c r="C209" s="1072" t="s">
        <v>111</v>
      </c>
      <c r="D209" s="148"/>
      <c r="E209" s="148"/>
      <c r="F209" s="148"/>
      <c r="G209" s="148"/>
      <c r="H209" s="148"/>
      <c r="I209" s="148"/>
      <c r="J209" s="104"/>
      <c r="K209" s="104"/>
      <c r="L209" s="53" t="s">
        <v>32</v>
      </c>
      <c r="N209" s="157">
        <v>81104.354000000007</v>
      </c>
      <c r="O209" s="161">
        <f>SUM(N209:N209)</f>
        <v>81104.354000000007</v>
      </c>
      <c r="P209" s="43">
        <v>83500</v>
      </c>
    </row>
    <row r="210" spans="1:16" ht="22.5" customHeight="1" x14ac:dyDescent="0.25">
      <c r="A210" s="1065"/>
      <c r="B210" s="139" t="s">
        <v>237</v>
      </c>
      <c r="C210" s="1073"/>
      <c r="D210" s="104"/>
      <c r="E210" s="104"/>
      <c r="F210" s="148"/>
      <c r="G210" s="148"/>
      <c r="H210" s="148"/>
      <c r="I210" s="148"/>
      <c r="J210" s="148"/>
      <c r="K210" s="148"/>
      <c r="L210" s="215" t="s">
        <v>30</v>
      </c>
      <c r="N210" s="240">
        <v>125337.3876</v>
      </c>
      <c r="O210" s="161">
        <f>SUM(N210:N210)</f>
        <v>125337.3876</v>
      </c>
      <c r="P210" s="43">
        <v>80000</v>
      </c>
    </row>
    <row r="211" spans="1:16" ht="33.75" customHeight="1" x14ac:dyDescent="0.25">
      <c r="A211" s="1065"/>
      <c r="B211" s="158"/>
      <c r="C211" s="1073"/>
      <c r="D211" s="104"/>
      <c r="E211" s="104"/>
      <c r="F211" s="104"/>
      <c r="G211" s="104"/>
      <c r="H211" s="104"/>
      <c r="I211" s="104"/>
      <c r="J211" s="104"/>
      <c r="K211" s="104"/>
      <c r="L211" s="215" t="s">
        <v>28</v>
      </c>
      <c r="N211" s="240">
        <v>62668.693800000001</v>
      </c>
      <c r="O211" s="161">
        <f>SUM(N211:N211)</f>
        <v>62668.693800000001</v>
      </c>
      <c r="P211" s="43">
        <v>63000</v>
      </c>
    </row>
    <row r="212" spans="1:16" ht="34.5" customHeight="1" x14ac:dyDescent="0.25">
      <c r="A212" s="1065"/>
      <c r="B212" s="158"/>
      <c r="C212" s="1073"/>
      <c r="D212" s="104"/>
      <c r="E212" s="104"/>
      <c r="F212" s="104"/>
      <c r="G212" s="104"/>
      <c r="H212" s="104"/>
      <c r="I212" s="104"/>
      <c r="J212" s="104"/>
      <c r="K212" s="104"/>
      <c r="L212" s="216" t="s">
        <v>27</v>
      </c>
      <c r="N212" s="240">
        <v>10444.782300000001</v>
      </c>
      <c r="O212" s="161">
        <f>SUM(N212:N212)</f>
        <v>10444.782300000001</v>
      </c>
      <c r="P212" s="43">
        <v>6800</v>
      </c>
    </row>
    <row r="213" spans="1:16" ht="31.5" customHeight="1" x14ac:dyDescent="0.25">
      <c r="A213" s="1065"/>
      <c r="B213" s="162"/>
      <c r="C213" s="1073"/>
      <c r="D213" s="104"/>
      <c r="E213" s="104"/>
      <c r="F213" s="104"/>
      <c r="G213" s="104"/>
      <c r="H213" s="104"/>
      <c r="I213" s="104"/>
      <c r="J213" s="104"/>
      <c r="K213" s="104"/>
      <c r="L213" s="163" t="s">
        <v>25</v>
      </c>
      <c r="N213" s="240">
        <v>10444.782300000001</v>
      </c>
      <c r="O213" s="161">
        <f>SUM(N213:N213)</f>
        <v>10444.782300000001</v>
      </c>
      <c r="P213" s="43">
        <v>6800</v>
      </c>
    </row>
    <row r="214" spans="1:16" ht="17.25" customHeight="1" x14ac:dyDescent="0.25">
      <c r="A214" s="1065"/>
      <c r="B214" s="110"/>
      <c r="C214" s="164"/>
      <c r="D214" s="104"/>
      <c r="E214" s="104"/>
      <c r="F214" s="104"/>
      <c r="G214" s="104"/>
      <c r="H214" s="104"/>
      <c r="I214" s="104"/>
      <c r="J214" s="104"/>
      <c r="K214" s="104"/>
      <c r="L214" s="163"/>
      <c r="M214" s="159"/>
      <c r="N214" s="240"/>
      <c r="O214" s="161">
        <f>SUM(M214:N214)</f>
        <v>0</v>
      </c>
      <c r="P214" s="241"/>
    </row>
    <row r="215" spans="1:16" ht="17.25" customHeight="1" x14ac:dyDescent="0.25">
      <c r="A215" s="105" t="s">
        <v>6</v>
      </c>
      <c r="B215" s="104"/>
      <c r="C215" s="104"/>
      <c r="D215" s="104"/>
      <c r="E215" s="104"/>
      <c r="F215" s="104"/>
      <c r="G215" s="104"/>
      <c r="H215" s="104"/>
      <c r="I215" s="104"/>
      <c r="J215" s="104"/>
      <c r="K215" s="104"/>
      <c r="L215" s="165"/>
      <c r="M215" s="161">
        <f>SUM(M214:M214)</f>
        <v>0</v>
      </c>
      <c r="N215" s="161">
        <f>SUM(N209:N214)</f>
        <v>290000.00000000006</v>
      </c>
      <c r="O215" s="161">
        <f>SUM(O209:O214)</f>
        <v>290000.00000000006</v>
      </c>
      <c r="P215" s="161">
        <f>SUM(P209:P214)</f>
        <v>240100</v>
      </c>
    </row>
    <row r="216" spans="1:16" ht="17.25" customHeight="1" x14ac:dyDescent="0.25">
      <c r="A216" s="105" t="s">
        <v>5</v>
      </c>
      <c r="B216" s="104"/>
      <c r="C216" s="104"/>
      <c r="D216" s="104"/>
      <c r="E216" s="104"/>
      <c r="F216" s="104"/>
      <c r="G216" s="104"/>
      <c r="H216" s="104"/>
      <c r="I216" s="104"/>
      <c r="J216" s="104"/>
      <c r="K216" s="104"/>
      <c r="L216" s="165"/>
      <c r="M216" s="161">
        <f>0.07*M215</f>
        <v>0</v>
      </c>
      <c r="N216" s="161">
        <f>0.07*N215</f>
        <v>20300.000000000007</v>
      </c>
      <c r="O216" s="161">
        <f>0.07*O215</f>
        <v>20300.000000000007</v>
      </c>
      <c r="P216" s="161">
        <f>0.07*P215</f>
        <v>16807</v>
      </c>
    </row>
    <row r="217" spans="1:16" ht="17.25" customHeight="1" x14ac:dyDescent="0.25">
      <c r="A217" s="128" t="s">
        <v>4</v>
      </c>
      <c r="B217" s="129"/>
      <c r="C217" s="129"/>
      <c r="D217" s="129"/>
      <c r="E217" s="129"/>
      <c r="F217" s="129"/>
      <c r="G217" s="129"/>
      <c r="H217" s="129"/>
      <c r="I217" s="129"/>
      <c r="J217" s="129"/>
      <c r="K217" s="129"/>
      <c r="L217" s="166"/>
      <c r="M217" s="167">
        <f>M216+M215</f>
        <v>0</v>
      </c>
      <c r="N217" s="167">
        <f>N216+N215</f>
        <v>310300.00000000006</v>
      </c>
      <c r="O217" s="167">
        <f>O216+O215</f>
        <v>310300.00000000006</v>
      </c>
      <c r="P217" s="167">
        <f>P216+P215</f>
        <v>256907</v>
      </c>
    </row>
    <row r="218" spans="1:16" ht="17.25" customHeight="1" x14ac:dyDescent="0.25">
      <c r="A218" s="1055" t="s">
        <v>56</v>
      </c>
      <c r="B218" s="158" t="s">
        <v>142</v>
      </c>
      <c r="C218" s="948" t="s">
        <v>50</v>
      </c>
      <c r="D218" s="58"/>
      <c r="E218" s="58"/>
      <c r="F218" s="58"/>
      <c r="G218" s="58"/>
      <c r="H218" s="19"/>
      <c r="I218" s="19"/>
      <c r="J218" s="19"/>
      <c r="K218" s="19"/>
      <c r="L218" s="26" t="s">
        <v>32</v>
      </c>
      <c r="N218" s="26">
        <v>336789</v>
      </c>
      <c r="O218" s="17">
        <f>SUM(N218:N218)</f>
        <v>336789</v>
      </c>
      <c r="P218" s="17">
        <v>336789</v>
      </c>
    </row>
    <row r="219" spans="1:16" ht="17.25" customHeight="1" x14ac:dyDescent="0.25">
      <c r="A219" s="1056"/>
      <c r="B219" s="158" t="s">
        <v>143</v>
      </c>
      <c r="C219" s="949"/>
      <c r="D219" s="19"/>
      <c r="E219" s="19"/>
      <c r="F219" s="58"/>
      <c r="G219" s="58"/>
      <c r="H219" s="58"/>
      <c r="I219" s="58"/>
      <c r="J219" s="19"/>
      <c r="K219" s="19"/>
      <c r="L219" s="22" t="s">
        <v>30</v>
      </c>
      <c r="N219" s="22">
        <v>50000</v>
      </c>
      <c r="O219" s="17">
        <f>SUM(N219:N219)</f>
        <v>50000</v>
      </c>
      <c r="P219" s="17">
        <v>40000</v>
      </c>
    </row>
    <row r="220" spans="1:16" ht="42" customHeight="1" x14ac:dyDescent="0.25">
      <c r="A220" s="1056"/>
      <c r="B220" s="168" t="s">
        <v>144</v>
      </c>
      <c r="C220" s="949"/>
      <c r="D220" s="19"/>
      <c r="E220" s="19"/>
      <c r="F220" s="58"/>
      <c r="G220" s="58"/>
      <c r="H220" s="19"/>
      <c r="I220" s="19"/>
      <c r="J220" s="19"/>
      <c r="K220" s="19"/>
      <c r="L220" s="22" t="s">
        <v>28</v>
      </c>
      <c r="N220" s="22">
        <v>20000</v>
      </c>
      <c r="O220" s="17">
        <f>SUM(N220:N220)</f>
        <v>20000</v>
      </c>
      <c r="P220" s="17">
        <v>20000</v>
      </c>
    </row>
    <row r="221" spans="1:16" ht="46.5" customHeight="1" x14ac:dyDescent="0.25">
      <c r="A221" s="1056"/>
      <c r="B221" s="110" t="s">
        <v>145</v>
      </c>
      <c r="C221" s="949"/>
      <c r="D221" s="19"/>
      <c r="E221" s="19"/>
      <c r="F221" s="19"/>
      <c r="G221" s="19"/>
      <c r="H221" s="58"/>
      <c r="I221" s="58"/>
      <c r="J221" s="58"/>
      <c r="K221" s="58"/>
      <c r="L221" s="25" t="s">
        <v>27</v>
      </c>
      <c r="N221" s="68">
        <v>0</v>
      </c>
      <c r="O221" s="17">
        <f>SUM(N221:N221)</f>
        <v>0</v>
      </c>
      <c r="P221" s="17">
        <v>0</v>
      </c>
    </row>
    <row r="222" spans="1:16" ht="33.75" customHeight="1" x14ac:dyDescent="0.25">
      <c r="A222" s="1057"/>
      <c r="B222" s="19"/>
      <c r="C222" s="950"/>
      <c r="D222" s="19"/>
      <c r="E222" s="19"/>
      <c r="F222" s="19"/>
      <c r="G222" s="19"/>
      <c r="H222" s="19"/>
      <c r="I222" s="19"/>
      <c r="J222" s="19"/>
      <c r="K222" s="19"/>
      <c r="L222" s="23" t="s">
        <v>25</v>
      </c>
      <c r="N222" s="23">
        <v>6666</v>
      </c>
      <c r="O222" s="17">
        <f>SUM(N222:N222)</f>
        <v>6666</v>
      </c>
      <c r="P222" s="17">
        <v>6666</v>
      </c>
    </row>
    <row r="223" spans="1:16" ht="17.25" customHeight="1" x14ac:dyDescent="0.25">
      <c r="A223" s="20" t="s">
        <v>6</v>
      </c>
      <c r="B223" s="19"/>
      <c r="C223" s="19"/>
      <c r="D223" s="19"/>
      <c r="E223" s="19"/>
      <c r="F223" s="19"/>
      <c r="G223" s="19"/>
      <c r="H223" s="19"/>
      <c r="I223" s="19"/>
      <c r="J223" s="19"/>
      <c r="K223" s="19"/>
      <c r="L223" s="17"/>
      <c r="M223" s="17" t="e">
        <f>SUM('Secretariat work plan 2014 '!#REF!)</f>
        <v>#REF!</v>
      </c>
      <c r="N223" s="17">
        <f>SUM(N218:N222)</f>
        <v>413455</v>
      </c>
      <c r="O223" s="17">
        <f>SUM(O218:O222)</f>
        <v>413455</v>
      </c>
      <c r="P223" s="17">
        <f>SUM(P218:P222)</f>
        <v>403455</v>
      </c>
    </row>
    <row r="224" spans="1:16" ht="17.25" customHeight="1" x14ac:dyDescent="0.25">
      <c r="A224" s="20" t="s">
        <v>5</v>
      </c>
      <c r="B224" s="19"/>
      <c r="C224" s="19"/>
      <c r="D224" s="19"/>
      <c r="E224" s="19"/>
      <c r="F224" s="19"/>
      <c r="G224" s="19"/>
      <c r="H224" s="19"/>
      <c r="I224" s="19"/>
      <c r="J224" s="19"/>
      <c r="K224" s="19"/>
      <c r="L224" s="17"/>
      <c r="M224" s="17" t="e">
        <f>M223*0.07</f>
        <v>#REF!</v>
      </c>
      <c r="N224" s="17">
        <f>N223*0.07</f>
        <v>28941.850000000002</v>
      </c>
      <c r="O224" s="17">
        <f>O223*0.07</f>
        <v>28941.850000000002</v>
      </c>
      <c r="P224" s="17">
        <f>P223*0.07</f>
        <v>28241.850000000002</v>
      </c>
    </row>
    <row r="225" spans="1:16" ht="17.25" customHeight="1" x14ac:dyDescent="0.25">
      <c r="A225" s="15" t="s">
        <v>4</v>
      </c>
      <c r="B225" s="14"/>
      <c r="C225" s="14"/>
      <c r="D225" s="14"/>
      <c r="E225" s="14"/>
      <c r="F225" s="14"/>
      <c r="G225" s="14"/>
      <c r="H225" s="14"/>
      <c r="I225" s="14"/>
      <c r="J225" s="14"/>
      <c r="K225" s="14"/>
      <c r="L225" s="13"/>
      <c r="M225" s="91" t="e">
        <f>M224+M223</f>
        <v>#REF!</v>
      </c>
      <c r="N225" s="91">
        <f>N224+N223</f>
        <v>442396.85</v>
      </c>
      <c r="O225" s="91">
        <f>O224+O223</f>
        <v>442396.85</v>
      </c>
      <c r="P225" s="91">
        <f>P224+P223</f>
        <v>431696.85</v>
      </c>
    </row>
    <row r="226" spans="1:16" ht="31.5" customHeight="1" x14ac:dyDescent="0.25">
      <c r="A226" s="1065" t="s">
        <v>238</v>
      </c>
      <c r="B226" s="156" t="s">
        <v>239</v>
      </c>
      <c r="C226" s="1072" t="s">
        <v>111</v>
      </c>
      <c r="D226" s="120"/>
      <c r="E226" s="148"/>
      <c r="F226" s="148"/>
      <c r="G226" s="148"/>
      <c r="H226" s="148"/>
      <c r="I226" s="148"/>
      <c r="J226" s="148"/>
      <c r="K226" s="148"/>
      <c r="L226" s="53" t="s">
        <v>32</v>
      </c>
      <c r="N226" s="240">
        <v>81104.350000000006</v>
      </c>
      <c r="O226" s="161">
        <f>SUM(N226:N226)</f>
        <v>81104.350000000006</v>
      </c>
      <c r="P226" s="43">
        <v>83500</v>
      </c>
    </row>
    <row r="227" spans="1:16" ht="47.25" x14ac:dyDescent="0.25">
      <c r="A227" s="1065"/>
      <c r="B227" s="156" t="s">
        <v>240</v>
      </c>
      <c r="C227" s="1073"/>
      <c r="D227" s="110"/>
      <c r="E227" s="148"/>
      <c r="F227" s="148"/>
      <c r="G227" s="148"/>
      <c r="H227" s="148"/>
      <c r="I227" s="148"/>
      <c r="J227" s="148"/>
      <c r="K227" s="148"/>
      <c r="L227" s="215" t="s">
        <v>30</v>
      </c>
      <c r="N227" s="240">
        <v>251337.38759999999</v>
      </c>
      <c r="O227" s="161">
        <f>SUM(N227:N227)</f>
        <v>251337.38759999999</v>
      </c>
      <c r="P227" s="43">
        <v>230000</v>
      </c>
    </row>
    <row r="228" spans="1:16" ht="31.5" x14ac:dyDescent="0.25">
      <c r="A228" s="1065"/>
      <c r="B228" t="s">
        <v>241</v>
      </c>
      <c r="C228" s="1073"/>
      <c r="D228" s="104"/>
      <c r="E228" s="104"/>
      <c r="F228" s="104"/>
      <c r="G228" s="104"/>
      <c r="H228" s="104"/>
      <c r="I228" s="104"/>
      <c r="J228" s="104"/>
      <c r="K228" s="104"/>
      <c r="L228" s="215" t="s">
        <v>28</v>
      </c>
      <c r="N228" s="240">
        <v>125668.69379999999</v>
      </c>
      <c r="O228" s="161">
        <f>SUM(N228:N228)</f>
        <v>125668.69379999999</v>
      </c>
      <c r="P228" s="43">
        <v>130000</v>
      </c>
    </row>
    <row r="229" spans="1:16" ht="15.75" x14ac:dyDescent="0.25">
      <c r="A229" s="1065"/>
      <c r="B229" s="104"/>
      <c r="C229" s="1073"/>
      <c r="D229" s="104"/>
      <c r="E229" s="104"/>
      <c r="F229" s="104"/>
      <c r="G229" s="104"/>
      <c r="H229" s="104"/>
      <c r="I229" s="104"/>
      <c r="J229" s="104"/>
      <c r="K229" s="104"/>
      <c r="L229" s="216" t="s">
        <v>27</v>
      </c>
      <c r="N229" s="169">
        <v>20944.782300000003</v>
      </c>
      <c r="O229" s="161">
        <f>SUM(N229:N229)</f>
        <v>20944.782300000003</v>
      </c>
      <c r="P229" s="43">
        <v>21500</v>
      </c>
    </row>
    <row r="230" spans="1:16" ht="31.5" x14ac:dyDescent="0.25">
      <c r="A230" s="1065"/>
      <c r="B230" s="104"/>
      <c r="C230" s="1074"/>
      <c r="D230" s="104"/>
      <c r="E230" s="104"/>
      <c r="F230" s="104"/>
      <c r="G230" s="104"/>
      <c r="H230" s="104"/>
      <c r="I230" s="104"/>
      <c r="J230" s="104"/>
      <c r="K230" s="104"/>
      <c r="L230" s="163" t="s">
        <v>25</v>
      </c>
      <c r="N230" s="170">
        <v>20944.782300000003</v>
      </c>
      <c r="O230" s="161">
        <f>SUM(N230:N230)</f>
        <v>20944.782300000003</v>
      </c>
      <c r="P230" s="43">
        <v>21500</v>
      </c>
    </row>
    <row r="231" spans="1:16" ht="15.75" x14ac:dyDescent="0.25">
      <c r="A231" s="105" t="s">
        <v>6</v>
      </c>
      <c r="B231" s="104"/>
      <c r="C231" s="104"/>
      <c r="D231" s="104"/>
      <c r="E231" s="104"/>
      <c r="F231" s="104"/>
      <c r="G231" s="104"/>
      <c r="H231" s="104"/>
      <c r="I231" s="104"/>
      <c r="J231" s="104"/>
      <c r="K231" s="104"/>
      <c r="L231" s="165"/>
      <c r="M231" s="161" t="e">
        <f>SUM('Secretariat work plan 2014 '!#REF!)</f>
        <v>#REF!</v>
      </c>
      <c r="N231" s="161">
        <f>SUM(N226:N230)</f>
        <v>499999.99600000004</v>
      </c>
      <c r="O231" s="161">
        <f>SUM(O226:O230)</f>
        <v>499999.99600000004</v>
      </c>
      <c r="P231" s="173">
        <f>SUM(P226:P230)</f>
        <v>486500</v>
      </c>
    </row>
    <row r="232" spans="1:16" ht="15.75" x14ac:dyDescent="0.25">
      <c r="A232" s="105" t="s">
        <v>5</v>
      </c>
      <c r="B232" s="104"/>
      <c r="C232" s="104"/>
      <c r="D232" s="104"/>
      <c r="E232" s="104"/>
      <c r="F232" s="104"/>
      <c r="G232" s="104"/>
      <c r="H232" s="104"/>
      <c r="I232" s="104"/>
      <c r="J232" s="104"/>
      <c r="K232" s="104"/>
      <c r="L232" s="165"/>
      <c r="M232" s="161" t="e">
        <f>0.07*M231</f>
        <v>#REF!</v>
      </c>
      <c r="N232" s="161">
        <f>0.07*N231</f>
        <v>34999.999720000007</v>
      </c>
      <c r="O232" s="161">
        <f>0.07*O231</f>
        <v>34999.999720000007</v>
      </c>
      <c r="P232" s="173">
        <f>0.07*P231</f>
        <v>34055</v>
      </c>
    </row>
    <row r="233" spans="1:16" ht="15.75" x14ac:dyDescent="0.25">
      <c r="A233" s="128" t="s">
        <v>4</v>
      </c>
      <c r="B233" s="129"/>
      <c r="C233" s="129"/>
      <c r="D233" s="129"/>
      <c r="E233" s="129"/>
      <c r="F233" s="129"/>
      <c r="G233" s="129"/>
      <c r="H233" s="129"/>
      <c r="I233" s="129"/>
      <c r="J233" s="129"/>
      <c r="K233" s="129"/>
      <c r="L233" s="166"/>
      <c r="M233" s="171" t="e">
        <f>M232+M231</f>
        <v>#REF!</v>
      </c>
      <c r="N233" s="171">
        <f>N232+N231</f>
        <v>534999.99572000001</v>
      </c>
      <c r="O233" s="171">
        <f>O232+O231</f>
        <v>534999.99572000001</v>
      </c>
      <c r="P233" s="171">
        <f>P232+P231</f>
        <v>520555</v>
      </c>
    </row>
    <row r="234" spans="1:16" ht="47.25" x14ac:dyDescent="0.25">
      <c r="A234" s="1055" t="s">
        <v>146</v>
      </c>
      <c r="B234" s="1084" t="s">
        <v>147</v>
      </c>
      <c r="C234" s="1058" t="s">
        <v>100</v>
      </c>
      <c r="D234" s="41"/>
      <c r="E234" s="138"/>
      <c r="F234" s="138"/>
      <c r="G234" s="138"/>
      <c r="H234" s="138"/>
      <c r="I234" s="138"/>
      <c r="J234" s="138"/>
      <c r="K234" s="138"/>
      <c r="L234" s="53" t="s">
        <v>32</v>
      </c>
      <c r="N234" s="53">
        <f>'[2]FAO '!N111</f>
        <v>393754</v>
      </c>
      <c r="O234" s="39">
        <f>SUM(N234:N234)</f>
        <v>393754</v>
      </c>
      <c r="P234" s="39">
        <f>'[2]FAO '!P111</f>
        <v>403754</v>
      </c>
    </row>
    <row r="235" spans="1:16" ht="15.75" x14ac:dyDescent="0.25">
      <c r="A235" s="1056"/>
      <c r="B235" s="1085"/>
      <c r="C235" s="1059"/>
      <c r="D235" s="45"/>
      <c r="E235" s="45"/>
      <c r="F235" s="45"/>
      <c r="G235" s="45"/>
      <c r="H235" s="45"/>
      <c r="I235" s="45"/>
      <c r="J235" s="45"/>
      <c r="K235" s="45"/>
      <c r="L235" s="51" t="s">
        <v>30</v>
      </c>
      <c r="N235" s="53">
        <f>'[2]FAO '!N112</f>
        <v>75000</v>
      </c>
      <c r="O235" s="39">
        <f>SUM(N235:N235)</f>
        <v>75000</v>
      </c>
      <c r="P235" s="39">
        <f>'[2]FAO '!P112</f>
        <v>75000</v>
      </c>
    </row>
    <row r="236" spans="1:16" ht="31.5" x14ac:dyDescent="0.25">
      <c r="A236" s="1056"/>
      <c r="B236" s="1085"/>
      <c r="C236" s="1059"/>
      <c r="D236" s="45"/>
      <c r="E236" s="45"/>
      <c r="F236" s="45"/>
      <c r="G236" s="45"/>
      <c r="H236" s="45"/>
      <c r="I236" s="45"/>
      <c r="J236" s="45"/>
      <c r="K236" s="45"/>
      <c r="L236" s="51" t="s">
        <v>28</v>
      </c>
      <c r="N236" s="53">
        <f>'[2]FAO '!N113</f>
        <v>10000</v>
      </c>
      <c r="O236" s="39">
        <f>SUM(N236:N236)</f>
        <v>10000</v>
      </c>
      <c r="P236" s="39">
        <f>'[2]FAO '!P113</f>
        <v>10000</v>
      </c>
    </row>
    <row r="237" spans="1:16" ht="31.5" x14ac:dyDescent="0.25">
      <c r="A237" s="1057"/>
      <c r="B237" s="1086"/>
      <c r="C237" s="1060"/>
      <c r="D237" s="45"/>
      <c r="E237" s="45"/>
      <c r="F237" s="45"/>
      <c r="G237" s="45"/>
      <c r="H237" s="45"/>
      <c r="I237" s="45"/>
      <c r="J237" s="45"/>
      <c r="K237" s="45"/>
      <c r="L237" s="47" t="s">
        <v>25</v>
      </c>
      <c r="N237" s="53">
        <f>'[2]FAO '!N115</f>
        <v>1246</v>
      </c>
      <c r="O237" s="39">
        <f>SUM(N237:N237)</f>
        <v>1246</v>
      </c>
      <c r="P237" s="39">
        <f>'[2]FAO '!P115</f>
        <v>1246</v>
      </c>
    </row>
    <row r="238" spans="1:16" ht="15.75" x14ac:dyDescent="0.25">
      <c r="A238" s="20" t="s">
        <v>6</v>
      </c>
      <c r="B238" s="19"/>
      <c r="C238" s="19"/>
      <c r="D238" s="19"/>
      <c r="E238" s="19"/>
      <c r="F238" s="19"/>
      <c r="G238" s="19"/>
      <c r="H238" s="19"/>
      <c r="I238" s="19"/>
      <c r="J238" s="19"/>
      <c r="K238" s="19"/>
      <c r="L238" s="17"/>
      <c r="M238" s="17" t="e">
        <f>SUM('Secretariat work plan 2014 '!#REF!)</f>
        <v>#REF!</v>
      </c>
      <c r="N238" s="17">
        <f>SUM(N234:N237)</f>
        <v>480000</v>
      </c>
      <c r="O238" s="17">
        <f>SUM(O234:O237)</f>
        <v>480000</v>
      </c>
      <c r="P238" s="17">
        <f>SUM(P234:P237)</f>
        <v>490000</v>
      </c>
    </row>
    <row r="239" spans="1:16" ht="15.75" x14ac:dyDescent="0.25">
      <c r="A239" s="20" t="s">
        <v>5</v>
      </c>
      <c r="B239" s="19"/>
      <c r="C239" s="19"/>
      <c r="D239" s="19"/>
      <c r="E239" s="19"/>
      <c r="F239" s="19"/>
      <c r="G239" s="19"/>
      <c r="H239" s="19"/>
      <c r="I239" s="19"/>
      <c r="J239" s="19"/>
      <c r="K239" s="19"/>
      <c r="L239" s="17"/>
      <c r="M239" s="17" t="e">
        <f>0.07*M238</f>
        <v>#REF!</v>
      </c>
      <c r="N239" s="17">
        <f>0.07*N238</f>
        <v>33600</v>
      </c>
      <c r="O239" s="17">
        <f>0.07*O238</f>
        <v>33600</v>
      </c>
      <c r="P239" s="17">
        <f>0.07*P238</f>
        <v>34300</v>
      </c>
    </row>
    <row r="240" spans="1:16" ht="15.75" x14ac:dyDescent="0.25">
      <c r="A240" s="15" t="s">
        <v>4</v>
      </c>
      <c r="B240" s="14"/>
      <c r="C240" s="14"/>
      <c r="D240" s="14"/>
      <c r="E240" s="14"/>
      <c r="F240" s="14"/>
      <c r="G240" s="14"/>
      <c r="H240" s="14"/>
      <c r="I240" s="14"/>
      <c r="J240" s="14"/>
      <c r="K240" s="14"/>
      <c r="L240" s="13"/>
      <c r="M240" s="91" t="e">
        <f>M239+M238</f>
        <v>#REF!</v>
      </c>
      <c r="N240" s="91">
        <f>N239+N238</f>
        <v>513600</v>
      </c>
      <c r="O240" s="91">
        <f>O239+O238</f>
        <v>513600</v>
      </c>
      <c r="P240" s="91">
        <f>P239+P238</f>
        <v>524300</v>
      </c>
    </row>
    <row r="241" spans="1:16" ht="46.5" customHeight="1" x14ac:dyDescent="0.25">
      <c r="A241" s="1065" t="s">
        <v>148</v>
      </c>
      <c r="B241" s="145" t="s">
        <v>149</v>
      </c>
      <c r="C241" s="1072" t="s">
        <v>111</v>
      </c>
      <c r="D241" s="148"/>
      <c r="E241" s="148"/>
      <c r="F241" s="148"/>
      <c r="G241" s="148"/>
      <c r="H241" s="148"/>
      <c r="I241" s="148"/>
      <c r="J241" s="148"/>
      <c r="K241" s="148"/>
      <c r="L241" s="53" t="s">
        <v>32</v>
      </c>
      <c r="N241" s="242">
        <v>81104.354000000007</v>
      </c>
      <c r="O241" s="161">
        <f>SUM(N241:N241)</f>
        <v>81104.354000000007</v>
      </c>
      <c r="P241" s="43">
        <v>84000</v>
      </c>
    </row>
    <row r="242" spans="1:16" ht="15.75" x14ac:dyDescent="0.25">
      <c r="A242" s="1065"/>
      <c r="B242" s="243" t="s">
        <v>242</v>
      </c>
      <c r="C242" s="1073"/>
      <c r="D242" s="148"/>
      <c r="E242" s="148"/>
      <c r="F242" s="148"/>
      <c r="G242" s="148"/>
      <c r="H242" s="148"/>
      <c r="I242" s="148"/>
      <c r="J242" s="148"/>
      <c r="K242" s="148"/>
      <c r="L242" s="215" t="s">
        <v>30</v>
      </c>
      <c r="N242" s="172">
        <v>377337.38759999996</v>
      </c>
      <c r="O242" s="161">
        <f>SUM(N242:N242)</f>
        <v>377337.38759999996</v>
      </c>
      <c r="P242" s="43">
        <v>380000</v>
      </c>
    </row>
    <row r="243" spans="1:16" ht="50.25" customHeight="1" x14ac:dyDescent="0.25">
      <c r="A243" s="1065"/>
      <c r="B243" s="145" t="s">
        <v>150</v>
      </c>
      <c r="C243" s="1073"/>
      <c r="D243" s="148"/>
      <c r="E243" s="148"/>
      <c r="F243" s="148"/>
      <c r="G243" s="148"/>
      <c r="H243" s="148"/>
      <c r="I243" s="148"/>
      <c r="J243" s="148"/>
      <c r="K243" s="148"/>
      <c r="L243" s="215" t="s">
        <v>28</v>
      </c>
      <c r="N243" s="172">
        <v>188668.69379999998</v>
      </c>
      <c r="O243" s="161">
        <f>SUM(N243:N243)</f>
        <v>188668.69379999998</v>
      </c>
      <c r="P243" s="43">
        <v>195000</v>
      </c>
    </row>
    <row r="244" spans="1:16" ht="15.75" x14ac:dyDescent="0.25">
      <c r="A244" s="1065"/>
      <c r="B244" s="110"/>
      <c r="C244" s="1073"/>
      <c r="D244" s="110"/>
      <c r="E244" s="110"/>
      <c r="F244" s="110"/>
      <c r="G244" s="110"/>
      <c r="H244" s="110"/>
      <c r="I244" s="110"/>
      <c r="J244" s="110"/>
      <c r="K244" s="110"/>
      <c r="L244" s="216" t="s">
        <v>27</v>
      </c>
      <c r="N244" s="172">
        <v>31444.782299999999</v>
      </c>
      <c r="O244" s="161">
        <f>SUM(N244:N244)</f>
        <v>31444.782299999999</v>
      </c>
      <c r="P244" s="43">
        <v>32500</v>
      </c>
    </row>
    <row r="245" spans="1:16" ht="31.5" x14ac:dyDescent="0.25">
      <c r="A245" s="1065"/>
      <c r="B245" s="110"/>
      <c r="C245" s="1074"/>
      <c r="D245" s="110"/>
      <c r="E245" s="110"/>
      <c r="F245" s="110"/>
      <c r="G245" s="110"/>
      <c r="H245" s="110"/>
      <c r="I245" s="110"/>
      <c r="J245" s="110"/>
      <c r="K245" s="110"/>
      <c r="L245" s="163" t="s">
        <v>25</v>
      </c>
      <c r="N245" s="172">
        <v>31444.782299999999</v>
      </c>
      <c r="O245" s="161">
        <f>SUM(N245:N245)</f>
        <v>31444.782299999999</v>
      </c>
      <c r="P245" s="43">
        <v>32500</v>
      </c>
    </row>
    <row r="246" spans="1:16" ht="15.75" x14ac:dyDescent="0.25">
      <c r="A246" s="105" t="s">
        <v>6</v>
      </c>
      <c r="B246" s="104"/>
      <c r="C246" s="104"/>
      <c r="D246" s="104"/>
      <c r="E246" s="104"/>
      <c r="F246" s="104"/>
      <c r="G246" s="104"/>
      <c r="H246" s="104"/>
      <c r="I246" s="104"/>
      <c r="J246" s="104"/>
      <c r="K246" s="104"/>
      <c r="L246" s="165"/>
      <c r="M246" s="165" t="e">
        <f>SUM('Secretariat work plan 2014 '!#REF!)</f>
        <v>#REF!</v>
      </c>
      <c r="N246" s="165">
        <f>SUM(N241:N245)</f>
        <v>709999.99999999988</v>
      </c>
      <c r="O246" s="165">
        <f>SUM(O241:O245)</f>
        <v>709999.99999999988</v>
      </c>
      <c r="P246" s="165">
        <f>SUM(P241:P245)</f>
        <v>724000</v>
      </c>
    </row>
    <row r="247" spans="1:16" ht="15.75" x14ac:dyDescent="0.25">
      <c r="A247" s="105" t="s">
        <v>5</v>
      </c>
      <c r="B247" s="104"/>
      <c r="C247" s="104"/>
      <c r="D247" s="104"/>
      <c r="E247" s="104"/>
      <c r="F247" s="104"/>
      <c r="G247" s="104"/>
      <c r="H247" s="104"/>
      <c r="I247" s="104"/>
      <c r="J247" s="104"/>
      <c r="K247" s="104"/>
      <c r="L247" s="165"/>
      <c r="M247" s="165" t="e">
        <f>0.07*M246</f>
        <v>#REF!</v>
      </c>
      <c r="N247" s="165">
        <f>0.07*N246</f>
        <v>49700</v>
      </c>
      <c r="O247" s="165">
        <f>0.07*O246</f>
        <v>49700</v>
      </c>
      <c r="P247" s="165">
        <f>0.07*P246</f>
        <v>50680.000000000007</v>
      </c>
    </row>
    <row r="248" spans="1:16" ht="15.75" x14ac:dyDescent="0.25">
      <c r="A248" s="128" t="s">
        <v>4</v>
      </c>
      <c r="B248" s="129"/>
      <c r="C248" s="129"/>
      <c r="D248" s="129"/>
      <c r="E248" s="129"/>
      <c r="F248" s="129"/>
      <c r="G248" s="129"/>
      <c r="H248" s="129"/>
      <c r="I248" s="129"/>
      <c r="J248" s="129"/>
      <c r="K248" s="129"/>
      <c r="L248" s="166"/>
      <c r="M248" s="171" t="e">
        <f>M247+M246</f>
        <v>#REF!</v>
      </c>
      <c r="N248" s="171">
        <f>N247+N246</f>
        <v>759699.99999999988</v>
      </c>
      <c r="O248" s="171">
        <f>O247+O246</f>
        <v>759699.99999999988</v>
      </c>
      <c r="P248" s="171">
        <f>P247+P246</f>
        <v>774680</v>
      </c>
    </row>
    <row r="249" spans="1:16" ht="47.25" x14ac:dyDescent="0.25">
      <c r="A249" s="1065" t="s">
        <v>243</v>
      </c>
      <c r="B249" s="104" t="s">
        <v>244</v>
      </c>
      <c r="C249" s="1072" t="s">
        <v>111</v>
      </c>
      <c r="D249" s="148"/>
      <c r="E249" s="148"/>
      <c r="F249" s="148"/>
      <c r="G249" s="148"/>
      <c r="H249" s="148"/>
      <c r="I249" s="148"/>
      <c r="J249" s="148"/>
      <c r="K249" s="148"/>
      <c r="L249" s="53" t="s">
        <v>32</v>
      </c>
      <c r="N249" s="172">
        <v>567730</v>
      </c>
      <c r="O249" s="161">
        <f>SUM(N249:N249)</f>
        <v>567730</v>
      </c>
      <c r="P249" s="43">
        <v>585000</v>
      </c>
    </row>
    <row r="250" spans="1:16" ht="15.75" x14ac:dyDescent="0.25">
      <c r="A250" s="1065"/>
      <c r="B250" s="104" t="s">
        <v>245</v>
      </c>
      <c r="C250" s="1073"/>
      <c r="D250" s="148"/>
      <c r="E250" s="148"/>
      <c r="F250" s="148"/>
      <c r="G250" s="148"/>
      <c r="H250" s="148"/>
      <c r="I250" s="148"/>
      <c r="J250" s="148"/>
      <c r="K250" s="148"/>
      <c r="L250" s="215" t="s">
        <v>30</v>
      </c>
      <c r="N250" s="173">
        <v>409362</v>
      </c>
      <c r="O250" s="161">
        <f>SUM(N250:N250)</f>
        <v>409362</v>
      </c>
      <c r="P250" s="43">
        <v>422000</v>
      </c>
    </row>
    <row r="251" spans="1:16" ht="31.5" x14ac:dyDescent="0.25">
      <c r="A251" s="1065"/>
      <c r="B251" s="104" t="s">
        <v>246</v>
      </c>
      <c r="C251" s="1073"/>
      <c r="D251" s="148"/>
      <c r="E251" s="148"/>
      <c r="F251" s="148"/>
      <c r="G251" s="148"/>
      <c r="H251" s="148"/>
      <c r="I251" s="148"/>
      <c r="J251" s="148"/>
      <c r="K251" s="148"/>
      <c r="L251" s="215" t="s">
        <v>28</v>
      </c>
      <c r="N251" s="244">
        <v>204681</v>
      </c>
      <c r="O251" s="161">
        <f>SUM(N251:N251)</f>
        <v>204681</v>
      </c>
      <c r="P251" s="43">
        <v>211000</v>
      </c>
    </row>
    <row r="252" spans="1:16" ht="15.75" x14ac:dyDescent="0.25">
      <c r="A252" s="1065"/>
      <c r="B252" s="162"/>
      <c r="C252" s="1073"/>
      <c r="D252" s="110"/>
      <c r="E252" s="110"/>
      <c r="F252" s="110"/>
      <c r="G252" s="110"/>
      <c r="H252" s="110"/>
      <c r="I252" s="110"/>
      <c r="J252" s="110"/>
      <c r="K252" s="110"/>
      <c r="L252" s="216" t="s">
        <v>27</v>
      </c>
      <c r="N252" s="244">
        <v>34113.5</v>
      </c>
      <c r="O252" s="161">
        <f>SUM(N252:N252)</f>
        <v>34113.5</v>
      </c>
      <c r="P252" s="43">
        <v>35000</v>
      </c>
    </row>
    <row r="253" spans="1:16" ht="44.25" customHeight="1" x14ac:dyDescent="0.25">
      <c r="A253" s="1065"/>
      <c r="B253" s="160"/>
      <c r="C253" s="1073"/>
      <c r="D253" s="110"/>
      <c r="E253" s="110"/>
      <c r="F253" s="110"/>
      <c r="G253" s="110"/>
      <c r="H253" s="110"/>
      <c r="I253" s="110"/>
      <c r="J253" s="110"/>
      <c r="K253" s="110"/>
      <c r="L253" s="163" t="s">
        <v>25</v>
      </c>
      <c r="N253" s="173">
        <v>34113.5</v>
      </c>
      <c r="O253" s="161">
        <f>SUM(N253:N253)</f>
        <v>34113.5</v>
      </c>
      <c r="P253" s="43">
        <v>35000</v>
      </c>
    </row>
    <row r="254" spans="1:16" ht="15.75" x14ac:dyDescent="0.25">
      <c r="A254" s="174"/>
      <c r="B254" s="158"/>
      <c r="C254" s="1074"/>
      <c r="D254" s="110"/>
      <c r="E254" s="110"/>
      <c r="F254" s="110"/>
      <c r="G254" s="110"/>
      <c r="H254" s="110"/>
      <c r="I254" s="110"/>
      <c r="J254" s="110"/>
      <c r="K254" s="110"/>
      <c r="L254" s="175"/>
      <c r="M254" s="173"/>
      <c r="N254" s="173"/>
      <c r="O254" s="161"/>
      <c r="P254" s="241"/>
    </row>
    <row r="255" spans="1:16" ht="15.75" x14ac:dyDescent="0.25">
      <c r="A255" s="105" t="s">
        <v>6</v>
      </c>
      <c r="B255" s="104"/>
      <c r="C255" s="104"/>
      <c r="D255" s="104"/>
      <c r="E255" s="104"/>
      <c r="F255" s="104"/>
      <c r="G255" s="104"/>
      <c r="H255" s="104"/>
      <c r="I255" s="104"/>
      <c r="J255" s="104"/>
      <c r="K255" s="104"/>
      <c r="L255" s="165"/>
      <c r="M255" s="161">
        <f>SUM(M254:M254)</f>
        <v>0</v>
      </c>
      <c r="N255" s="161">
        <f>SUM(N249:N254)</f>
        <v>1250000</v>
      </c>
      <c r="O255" s="161">
        <f>SUM(O249:O254)</f>
        <v>1250000</v>
      </c>
      <c r="P255" s="161">
        <f>SUM(P249:P254)</f>
        <v>1288000</v>
      </c>
    </row>
    <row r="256" spans="1:16" ht="15.75" x14ac:dyDescent="0.25">
      <c r="A256" s="105" t="s">
        <v>5</v>
      </c>
      <c r="B256" s="104"/>
      <c r="C256" s="104"/>
      <c r="D256" s="104"/>
      <c r="E256" s="104"/>
      <c r="F256" s="104"/>
      <c r="G256" s="104"/>
      <c r="H256" s="104"/>
      <c r="I256" s="104"/>
      <c r="J256" s="104"/>
      <c r="K256" s="104"/>
      <c r="L256" s="165"/>
      <c r="M256" s="161">
        <f>0.07*M255</f>
        <v>0</v>
      </c>
      <c r="N256" s="161">
        <f>0.07*N255</f>
        <v>87500.000000000015</v>
      </c>
      <c r="O256" s="161">
        <f>0.07*O255</f>
        <v>87500.000000000015</v>
      </c>
      <c r="P256" s="161">
        <f>0.07*P255</f>
        <v>90160.000000000015</v>
      </c>
    </row>
    <row r="257" spans="1:16" ht="15.75" x14ac:dyDescent="0.25">
      <c r="A257" s="128" t="s">
        <v>4</v>
      </c>
      <c r="B257" s="129"/>
      <c r="C257" s="129"/>
      <c r="D257" s="129"/>
      <c r="E257" s="129"/>
      <c r="F257" s="129"/>
      <c r="G257" s="129"/>
      <c r="H257" s="129"/>
      <c r="I257" s="129"/>
      <c r="J257" s="129"/>
      <c r="K257" s="129"/>
      <c r="L257" s="166"/>
      <c r="M257" s="167">
        <f>M256+M255</f>
        <v>0</v>
      </c>
      <c r="N257" s="167">
        <f>N256+N255</f>
        <v>1337500</v>
      </c>
      <c r="O257" s="167">
        <f>O256+O255</f>
        <v>1337500</v>
      </c>
      <c r="P257" s="167">
        <f>P256+P255</f>
        <v>1378160</v>
      </c>
    </row>
    <row r="258" spans="1:16" ht="47.25" x14ac:dyDescent="0.25">
      <c r="A258" s="1075" t="s">
        <v>55</v>
      </c>
      <c r="B258" s="168" t="s">
        <v>151</v>
      </c>
      <c r="C258" s="948" t="s">
        <v>50</v>
      </c>
      <c r="D258" s="19"/>
      <c r="E258" s="19"/>
      <c r="F258" s="58"/>
      <c r="G258" s="58"/>
      <c r="H258" s="58"/>
      <c r="I258" s="58"/>
      <c r="J258" s="19"/>
      <c r="K258" s="19"/>
      <c r="L258" s="26" t="s">
        <v>32</v>
      </c>
      <c r="N258" s="26">
        <v>664400</v>
      </c>
      <c r="O258" s="17">
        <f>SUM(N258:N258)</f>
        <v>664400</v>
      </c>
      <c r="P258" s="17">
        <v>664400</v>
      </c>
    </row>
    <row r="259" spans="1:16" ht="81.75" customHeight="1" x14ac:dyDescent="0.25">
      <c r="A259" s="1056"/>
      <c r="B259" s="176" t="s">
        <v>152</v>
      </c>
      <c r="C259" s="949"/>
      <c r="D259" s="19"/>
      <c r="E259" s="19"/>
      <c r="F259" s="58"/>
      <c r="G259" s="58"/>
      <c r="H259" s="58"/>
      <c r="I259" s="58"/>
      <c r="J259" s="58"/>
      <c r="K259" s="58"/>
      <c r="L259" s="22" t="s">
        <v>30</v>
      </c>
      <c r="N259" s="22">
        <v>166129</v>
      </c>
      <c r="O259" s="17">
        <f>SUM(N259:N259)</f>
        <v>166129</v>
      </c>
      <c r="P259" s="17">
        <v>166129</v>
      </c>
    </row>
    <row r="260" spans="1:16" ht="31.5" x14ac:dyDescent="0.25">
      <c r="A260" s="1056"/>
      <c r="B260" s="158" t="s">
        <v>153</v>
      </c>
      <c r="C260" s="949"/>
      <c r="D260" s="58"/>
      <c r="E260" s="58"/>
      <c r="F260" s="58"/>
      <c r="G260" s="58"/>
      <c r="H260" s="58"/>
      <c r="I260" s="58"/>
      <c r="J260" s="19"/>
      <c r="K260" s="19"/>
      <c r="L260" s="22" t="s">
        <v>28</v>
      </c>
      <c r="N260" s="22">
        <v>100000</v>
      </c>
      <c r="O260" s="17">
        <f>SUM(N260:N260)</f>
        <v>100000</v>
      </c>
      <c r="P260" s="17">
        <v>50000</v>
      </c>
    </row>
    <row r="261" spans="1:16" ht="47.25" x14ac:dyDescent="0.25">
      <c r="A261" s="1056"/>
      <c r="B261" s="60" t="s">
        <v>154</v>
      </c>
      <c r="C261" s="950"/>
      <c r="D261" s="19"/>
      <c r="E261" s="19"/>
      <c r="F261" s="19"/>
      <c r="G261" s="69"/>
      <c r="H261" s="19"/>
      <c r="I261" s="19"/>
      <c r="J261" s="58"/>
      <c r="K261" s="58"/>
      <c r="L261" s="25" t="s">
        <v>27</v>
      </c>
      <c r="N261" s="68">
        <v>0</v>
      </c>
      <c r="O261" s="17">
        <f>SUM(N261:N261)</f>
        <v>0</v>
      </c>
      <c r="P261" s="17">
        <v>0</v>
      </c>
    </row>
    <row r="262" spans="1:16" ht="31.5" x14ac:dyDescent="0.25">
      <c r="A262" s="1057"/>
      <c r="B262" s="19"/>
      <c r="C262" s="19"/>
      <c r="D262" s="19"/>
      <c r="E262" s="19"/>
      <c r="F262" s="19"/>
      <c r="G262" s="19"/>
      <c r="H262" s="19"/>
      <c r="I262" s="19"/>
      <c r="J262" s="19"/>
      <c r="K262" s="19"/>
      <c r="L262" s="23" t="s">
        <v>25</v>
      </c>
      <c r="N262" s="23">
        <v>18000</v>
      </c>
      <c r="O262" s="17">
        <f>SUM(N262:N262)</f>
        <v>18000</v>
      </c>
      <c r="P262" s="17">
        <v>18000</v>
      </c>
    </row>
    <row r="263" spans="1:16" ht="15.75" x14ac:dyDescent="0.25">
      <c r="A263" s="20" t="s">
        <v>6</v>
      </c>
      <c r="B263" s="19"/>
      <c r="C263" s="19"/>
      <c r="D263" s="19"/>
      <c r="E263" s="19"/>
      <c r="F263" s="19"/>
      <c r="G263" s="19"/>
      <c r="H263" s="19"/>
      <c r="I263" s="19"/>
      <c r="J263" s="19"/>
      <c r="K263" s="19"/>
      <c r="L263" s="17"/>
      <c r="M263" s="17" t="e">
        <f>SUM('Secretariat work plan 2014 '!#REF!)</f>
        <v>#REF!</v>
      </c>
      <c r="N263" s="17">
        <f>SUM(N258:N262)</f>
        <v>948529</v>
      </c>
      <c r="O263" s="17">
        <f>SUM(O258:O262)</f>
        <v>948529</v>
      </c>
      <c r="P263" s="17">
        <f>SUM(P258:P262)</f>
        <v>898529</v>
      </c>
    </row>
    <row r="264" spans="1:16" ht="15.75" x14ac:dyDescent="0.25">
      <c r="A264" s="20" t="s">
        <v>5</v>
      </c>
      <c r="B264" s="19"/>
      <c r="C264" s="19"/>
      <c r="D264" s="19"/>
      <c r="E264" s="19"/>
      <c r="F264" s="19"/>
      <c r="G264" s="19"/>
      <c r="H264" s="19"/>
      <c r="I264" s="19"/>
      <c r="J264" s="19"/>
      <c r="K264" s="19"/>
      <c r="L264" s="17"/>
      <c r="M264" s="17" t="e">
        <f>M263*0.07</f>
        <v>#REF!</v>
      </c>
      <c r="N264" s="17">
        <f>N263*0.07</f>
        <v>66397.030000000013</v>
      </c>
      <c r="O264" s="17">
        <f>O263*0.07</f>
        <v>66397.030000000013</v>
      </c>
      <c r="P264" s="17">
        <f>P263*0.07</f>
        <v>62897.030000000006</v>
      </c>
    </row>
    <row r="265" spans="1:16" ht="15.75" x14ac:dyDescent="0.25">
      <c r="A265" s="15" t="s">
        <v>4</v>
      </c>
      <c r="B265" s="14"/>
      <c r="C265" s="14"/>
      <c r="D265" s="14"/>
      <c r="E265" s="14"/>
      <c r="F265" s="14"/>
      <c r="G265" s="14"/>
      <c r="H265" s="14"/>
      <c r="I265" s="14"/>
      <c r="J265" s="14"/>
      <c r="K265" s="14"/>
      <c r="L265" s="13"/>
      <c r="M265" s="91" t="e">
        <f>M264+M263</f>
        <v>#REF!</v>
      </c>
      <c r="N265" s="91">
        <f>N264+N263</f>
        <v>1014926.03</v>
      </c>
      <c r="O265" s="91">
        <f>O264+O263</f>
        <v>1014926.03</v>
      </c>
      <c r="P265" s="91">
        <f>P264+P263</f>
        <v>961426.03</v>
      </c>
    </row>
    <row r="266" spans="1:16" ht="15.75" x14ac:dyDescent="0.25">
      <c r="A266" s="35" t="s">
        <v>0</v>
      </c>
      <c r="B266" s="34"/>
      <c r="C266" s="34"/>
      <c r="D266" s="34"/>
      <c r="E266" s="34"/>
      <c r="F266" s="34"/>
      <c r="G266" s="34"/>
      <c r="H266" s="34"/>
      <c r="I266" s="34"/>
      <c r="J266" s="34"/>
      <c r="K266" s="34"/>
      <c r="L266" s="33"/>
      <c r="M266" s="32" t="e">
        <f>M265+M257+M248+M240+M233+M225+M217</f>
        <v>#REF!</v>
      </c>
      <c r="N266" s="32">
        <f>N265+N257+N248+N240+N233+N225+N217</f>
        <v>4913422.8757199999</v>
      </c>
      <c r="O266" s="32">
        <f>O265+O257+O248+O240+O233+O225+O217</f>
        <v>4913422.8757199999</v>
      </c>
      <c r="P266" s="32">
        <f>P265+P257+P248+P240+P233+P225+P217</f>
        <v>4847724.88</v>
      </c>
    </row>
    <row r="267" spans="1:16" ht="15.75" x14ac:dyDescent="0.25">
      <c r="A267" s="1076" t="s">
        <v>54</v>
      </c>
      <c r="B267" s="1077"/>
      <c r="C267" s="67"/>
      <c r="D267" s="67"/>
      <c r="E267" s="67"/>
      <c r="F267" s="67"/>
      <c r="G267" s="67"/>
      <c r="H267" s="67"/>
      <c r="I267" s="67"/>
      <c r="J267" s="67"/>
      <c r="K267" s="67"/>
      <c r="L267" s="61"/>
      <c r="M267" s="61"/>
      <c r="N267" s="61"/>
      <c r="O267" s="61"/>
      <c r="P267" s="61"/>
    </row>
    <row r="268" spans="1:16" ht="39" customHeight="1" x14ac:dyDescent="0.25">
      <c r="A268" s="1061" t="s">
        <v>53</v>
      </c>
      <c r="B268" s="1062"/>
      <c r="C268" s="970" t="s">
        <v>24</v>
      </c>
      <c r="D268" s="963" t="s">
        <v>23</v>
      </c>
      <c r="E268" s="963"/>
      <c r="F268" s="963"/>
      <c r="G268" s="963"/>
      <c r="H268" s="963" t="s">
        <v>22</v>
      </c>
      <c r="I268" s="963"/>
      <c r="J268" s="963"/>
      <c r="K268" s="963"/>
      <c r="L268" s="963" t="s">
        <v>198</v>
      </c>
      <c r="M268" s="963"/>
      <c r="N268" s="963"/>
      <c r="O268" s="963"/>
      <c r="P268" s="963"/>
    </row>
    <row r="269" spans="1:16" ht="31.5" x14ac:dyDescent="0.25">
      <c r="A269" s="30" t="s">
        <v>21</v>
      </c>
      <c r="B269" s="30" t="s">
        <v>20</v>
      </c>
      <c r="C269" s="970"/>
      <c r="D269" s="29" t="s">
        <v>19</v>
      </c>
      <c r="E269" s="29" t="s">
        <v>18</v>
      </c>
      <c r="F269" s="29" t="s">
        <v>17</v>
      </c>
      <c r="G269" s="29" t="s">
        <v>16</v>
      </c>
      <c r="H269" s="29" t="s">
        <v>19</v>
      </c>
      <c r="I269" s="29" t="s">
        <v>18</v>
      </c>
      <c r="J269" s="29" t="s">
        <v>17</v>
      </c>
      <c r="K269" s="29" t="s">
        <v>16</v>
      </c>
      <c r="L269" s="28" t="s">
        <v>15</v>
      </c>
      <c r="M269" s="30" t="s">
        <v>14</v>
      </c>
      <c r="N269" s="30" t="s">
        <v>13</v>
      </c>
      <c r="O269" s="227" t="s">
        <v>221</v>
      </c>
      <c r="P269" s="29" t="s">
        <v>230</v>
      </c>
    </row>
    <row r="270" spans="1:16" ht="47.25" x14ac:dyDescent="0.25">
      <c r="A270" s="1065" t="s">
        <v>155</v>
      </c>
      <c r="B270" s="177" t="s">
        <v>156</v>
      </c>
      <c r="C270" s="948" t="s">
        <v>111</v>
      </c>
      <c r="D270" s="148"/>
      <c r="E270" s="148"/>
      <c r="F270" s="148"/>
      <c r="G270" s="148"/>
      <c r="H270" s="148"/>
      <c r="I270" s="148"/>
      <c r="J270" s="104"/>
      <c r="K270" s="104"/>
      <c r="L270" s="26" t="s">
        <v>32</v>
      </c>
      <c r="N270" s="240">
        <v>211664</v>
      </c>
      <c r="O270" s="161" t="e">
        <f>'Secretariat work plan 2014 '!#REF!+N270</f>
        <v>#REF!</v>
      </c>
      <c r="P270" s="43">
        <v>218000</v>
      </c>
    </row>
    <row r="271" spans="1:16" ht="15.75" x14ac:dyDescent="0.25">
      <c r="A271" s="1065"/>
      <c r="B271" s="1063" t="s">
        <v>247</v>
      </c>
      <c r="C271" s="949"/>
      <c r="D271" s="148"/>
      <c r="E271" s="148"/>
      <c r="F271" s="148"/>
      <c r="G271" s="148"/>
      <c r="H271" s="148"/>
      <c r="I271" s="148"/>
      <c r="J271" s="148"/>
      <c r="K271" s="148"/>
      <c r="L271" s="22" t="s">
        <v>30</v>
      </c>
      <c r="N271" s="240">
        <v>221000</v>
      </c>
      <c r="O271" s="161" t="e">
        <f>'Secretariat work plan 2014 '!#REF!+N271</f>
        <v>#REF!</v>
      </c>
      <c r="P271" s="43">
        <v>500000</v>
      </c>
    </row>
    <row r="272" spans="1:16" ht="66" customHeight="1" x14ac:dyDescent="0.25">
      <c r="A272" s="1065"/>
      <c r="B272" s="1064"/>
      <c r="C272" s="949"/>
      <c r="D272" s="104"/>
      <c r="E272" s="104"/>
      <c r="F272" s="148"/>
      <c r="G272" s="148"/>
      <c r="H272" s="148"/>
      <c r="I272" s="148"/>
      <c r="J272" s="148"/>
      <c r="K272" s="148"/>
      <c r="L272" s="22" t="s">
        <v>28</v>
      </c>
      <c r="N272" s="240">
        <v>145000</v>
      </c>
      <c r="O272" s="161" t="e">
        <f>'Secretariat work plan 2014 '!#REF!+N272</f>
        <v>#REF!</v>
      </c>
      <c r="P272" s="43">
        <v>264000</v>
      </c>
    </row>
    <row r="273" spans="1:16" ht="97.5" customHeight="1" x14ac:dyDescent="0.25">
      <c r="A273" s="1065"/>
      <c r="B273" s="177" t="s">
        <v>248</v>
      </c>
      <c r="C273" s="949"/>
      <c r="D273" s="104"/>
      <c r="E273" s="104"/>
      <c r="F273" s="148"/>
      <c r="G273" s="148"/>
      <c r="H273" s="148"/>
      <c r="I273" s="148"/>
      <c r="J273" s="148"/>
      <c r="K273" s="148"/>
      <c r="L273" s="25" t="s">
        <v>27</v>
      </c>
      <c r="N273" s="240">
        <v>36167</v>
      </c>
      <c r="O273" s="161" t="e">
        <f>'Secretariat work plan 2014 '!#REF!+N273</f>
        <v>#REF!</v>
      </c>
      <c r="P273" s="43">
        <v>35000</v>
      </c>
    </row>
    <row r="274" spans="1:16" ht="31.5" x14ac:dyDescent="0.25">
      <c r="A274" s="1065"/>
      <c r="B274" s="177"/>
      <c r="C274" s="949"/>
      <c r="D274" s="148"/>
      <c r="E274" s="148"/>
      <c r="F274" s="104"/>
      <c r="G274" s="148"/>
      <c r="H274" s="148"/>
      <c r="I274" s="148"/>
      <c r="J274" s="104"/>
      <c r="K274" s="148"/>
      <c r="L274" s="23" t="s">
        <v>25</v>
      </c>
      <c r="N274" s="240">
        <v>36167</v>
      </c>
      <c r="O274" s="161" t="e">
        <f>'Secretariat work plan 2014 '!#REF!+N274</f>
        <v>#REF!</v>
      </c>
      <c r="P274" s="43">
        <v>35000</v>
      </c>
    </row>
    <row r="275" spans="1:16" ht="15.75" x14ac:dyDescent="0.25">
      <c r="A275" s="1065"/>
      <c r="B275" s="177"/>
      <c r="C275" s="949"/>
      <c r="D275" s="148"/>
      <c r="E275" s="148"/>
      <c r="F275" s="148"/>
      <c r="G275" s="148"/>
      <c r="H275" s="148"/>
      <c r="I275" s="148"/>
      <c r="J275" s="148"/>
      <c r="K275" s="148"/>
      <c r="L275" s="83"/>
      <c r="M275" s="83"/>
      <c r="N275" s="83"/>
      <c r="O275" s="17"/>
      <c r="P275" s="56"/>
    </row>
    <row r="276" spans="1:16" ht="15.75" x14ac:dyDescent="0.25">
      <c r="A276" s="1065"/>
      <c r="B276" s="177"/>
      <c r="C276" s="949"/>
      <c r="D276" s="110"/>
      <c r="E276" s="148"/>
      <c r="F276" s="110"/>
      <c r="G276" s="110"/>
      <c r="H276" s="148"/>
      <c r="I276" s="104"/>
      <c r="J276" s="104"/>
      <c r="K276" s="104"/>
      <c r="L276" s="83"/>
      <c r="M276" s="83"/>
      <c r="N276" s="83"/>
      <c r="O276" s="17"/>
      <c r="P276" s="56"/>
    </row>
    <row r="277" spans="1:16" ht="15.75" x14ac:dyDescent="0.25">
      <c r="A277" s="1065"/>
      <c r="B277" s="177"/>
      <c r="C277" s="949"/>
      <c r="D277" s="110"/>
      <c r="E277" s="148"/>
      <c r="F277" s="148"/>
      <c r="G277" s="148"/>
      <c r="H277" s="148"/>
      <c r="I277" s="148"/>
      <c r="J277" s="148"/>
      <c r="K277" s="148"/>
      <c r="L277" s="83"/>
      <c r="M277" s="83"/>
      <c r="N277" s="83"/>
      <c r="O277" s="17"/>
      <c r="P277" s="56"/>
    </row>
    <row r="278" spans="1:16" ht="15.75" x14ac:dyDescent="0.25">
      <c r="A278" s="1065"/>
      <c r="B278" s="177"/>
      <c r="C278" s="950"/>
      <c r="D278" s="148"/>
      <c r="E278" s="148"/>
      <c r="F278" s="148"/>
      <c r="G278" s="148"/>
      <c r="H278" s="148"/>
      <c r="I278" s="148"/>
      <c r="J278" s="104"/>
      <c r="K278" s="104"/>
      <c r="L278" s="83"/>
      <c r="M278" s="83"/>
      <c r="N278" s="83"/>
      <c r="O278" s="17"/>
      <c r="P278" s="56"/>
    </row>
    <row r="279" spans="1:16" ht="15.75" x14ac:dyDescent="0.25">
      <c r="A279" s="20" t="s">
        <v>6</v>
      </c>
      <c r="B279" s="19"/>
      <c r="C279" s="19"/>
      <c r="D279" s="19"/>
      <c r="E279" s="19"/>
      <c r="F279" s="19"/>
      <c r="G279" s="19"/>
      <c r="H279" s="19"/>
      <c r="I279" s="19"/>
      <c r="J279" s="19"/>
      <c r="K279" s="19"/>
      <c r="L279" s="17"/>
      <c r="M279" s="17">
        <f>SUM(M275:M278)</f>
        <v>0</v>
      </c>
      <c r="N279" s="17">
        <f>SUM(N270:N278)</f>
        <v>649998</v>
      </c>
      <c r="O279" s="17" t="e">
        <f>SUM(O270:O278)</f>
        <v>#REF!</v>
      </c>
      <c r="P279" s="56">
        <f>SUM(P270:P278)</f>
        <v>1052000</v>
      </c>
    </row>
    <row r="280" spans="1:16" ht="15.75" x14ac:dyDescent="0.25">
      <c r="A280" s="20" t="s">
        <v>5</v>
      </c>
      <c r="B280" s="19"/>
      <c r="C280" s="19"/>
      <c r="D280" s="19"/>
      <c r="E280" s="19"/>
      <c r="F280" s="19"/>
      <c r="G280" s="19"/>
      <c r="H280" s="19"/>
      <c r="I280" s="19"/>
      <c r="J280" s="19"/>
      <c r="K280" s="19"/>
      <c r="L280" s="17"/>
      <c r="M280" s="17">
        <f>0.07*M279</f>
        <v>0</v>
      </c>
      <c r="N280" s="17">
        <f>0.07*N279</f>
        <v>45499.860000000008</v>
      </c>
      <c r="O280" s="17" t="e">
        <f>0.07*O279</f>
        <v>#REF!</v>
      </c>
      <c r="P280" s="56">
        <f>0.07*P279</f>
        <v>73640</v>
      </c>
    </row>
    <row r="281" spans="1:16" ht="15.75" x14ac:dyDescent="0.25">
      <c r="A281" s="15" t="s">
        <v>4</v>
      </c>
      <c r="B281" s="14"/>
      <c r="C281" s="14"/>
      <c r="D281" s="14"/>
      <c r="E281" s="14"/>
      <c r="F281" s="14"/>
      <c r="G281" s="14"/>
      <c r="H281" s="14"/>
      <c r="I281" s="14"/>
      <c r="J281" s="14"/>
      <c r="K281" s="14"/>
      <c r="L281" s="13"/>
      <c r="M281" s="91">
        <f>M280+M279</f>
        <v>0</v>
      </c>
      <c r="N281" s="91">
        <f>N280+N279</f>
        <v>695497.86</v>
      </c>
      <c r="O281" s="91" t="e">
        <f>O280+O279</f>
        <v>#REF!</v>
      </c>
      <c r="P281" s="91">
        <f>P280+P279</f>
        <v>1125640</v>
      </c>
    </row>
    <row r="282" spans="1:16" ht="66.75" customHeight="1" x14ac:dyDescent="0.25">
      <c r="A282" s="1065" t="s">
        <v>249</v>
      </c>
      <c r="B282" s="177" t="s">
        <v>157</v>
      </c>
      <c r="C282" s="1072" t="s">
        <v>111</v>
      </c>
      <c r="D282" s="148"/>
      <c r="E282" s="148"/>
      <c r="F282" s="148"/>
      <c r="G282" s="148"/>
      <c r="H282" s="148"/>
      <c r="I282" s="110"/>
      <c r="J282" s="104"/>
      <c r="K282" s="104"/>
      <c r="L282" s="53" t="s">
        <v>32</v>
      </c>
      <c r="N282" s="240">
        <v>211665</v>
      </c>
      <c r="O282" s="161">
        <f>SUM(N282:N282)</f>
        <v>211665</v>
      </c>
      <c r="P282" s="43">
        <v>218000</v>
      </c>
    </row>
    <row r="283" spans="1:16" ht="47.25" x14ac:dyDescent="0.25">
      <c r="A283" s="1065"/>
      <c r="B283" s="177" t="s">
        <v>250</v>
      </c>
      <c r="C283" s="1073"/>
      <c r="D283" s="148"/>
      <c r="E283" s="148"/>
      <c r="F283" s="148"/>
      <c r="G283" s="148"/>
      <c r="H283" s="148"/>
      <c r="I283" s="148"/>
      <c r="J283" s="148"/>
      <c r="K283" s="148"/>
      <c r="L283" s="215" t="s">
        <v>30</v>
      </c>
      <c r="N283" s="240">
        <v>385000</v>
      </c>
      <c r="O283" s="161">
        <f>SUM(N283:N283)</f>
        <v>385000</v>
      </c>
      <c r="P283" s="43">
        <v>475000</v>
      </c>
    </row>
    <row r="284" spans="1:16" ht="63" x14ac:dyDescent="0.25">
      <c r="A284" s="1065"/>
      <c r="B284" s="177" t="s">
        <v>251</v>
      </c>
      <c r="C284" s="1074"/>
      <c r="D284" s="148"/>
      <c r="E284" s="148"/>
      <c r="F284" s="148"/>
      <c r="G284" s="148"/>
      <c r="H284" s="148"/>
      <c r="I284" s="148"/>
      <c r="J284" s="148"/>
      <c r="K284" s="148"/>
      <c r="L284" s="215" t="s">
        <v>28</v>
      </c>
      <c r="N284" s="240">
        <v>220000</v>
      </c>
      <c r="O284" s="161">
        <f>SUM(N284:N284)</f>
        <v>220000</v>
      </c>
      <c r="P284" s="43">
        <v>244000</v>
      </c>
    </row>
    <row r="285" spans="1:16" ht="15.75" x14ac:dyDescent="0.25">
      <c r="A285" s="1065"/>
      <c r="B285" s="104"/>
      <c r="C285" s="104"/>
      <c r="D285" s="104"/>
      <c r="E285" s="104"/>
      <c r="F285" s="104"/>
      <c r="G285" s="104"/>
      <c r="H285" s="104"/>
      <c r="I285" s="104"/>
      <c r="J285" s="104"/>
      <c r="K285" s="104"/>
      <c r="L285" s="216" t="s">
        <v>27</v>
      </c>
      <c r="N285" s="169">
        <v>39417</v>
      </c>
      <c r="O285" s="161">
        <f>SUM(N285:N285)</f>
        <v>39417</v>
      </c>
      <c r="P285" s="43">
        <v>40000</v>
      </c>
    </row>
    <row r="286" spans="1:16" ht="31.5" x14ac:dyDescent="0.25">
      <c r="A286" s="1065"/>
      <c r="B286" s="104"/>
      <c r="C286" s="104"/>
      <c r="D286" s="104"/>
      <c r="E286" s="104"/>
      <c r="F286" s="104"/>
      <c r="G286" s="104"/>
      <c r="H286" s="104"/>
      <c r="I286" s="104"/>
      <c r="J286" s="104"/>
      <c r="K286" s="104"/>
      <c r="L286" s="163" t="s">
        <v>25</v>
      </c>
      <c r="N286" s="170">
        <v>39416</v>
      </c>
      <c r="O286" s="161">
        <f>SUM(N286:N286)</f>
        <v>39416</v>
      </c>
      <c r="P286" s="43">
        <v>40000</v>
      </c>
    </row>
    <row r="287" spans="1:16" ht="15.75" x14ac:dyDescent="0.25">
      <c r="A287" s="105" t="s">
        <v>6</v>
      </c>
      <c r="B287" s="104"/>
      <c r="C287" s="104"/>
      <c r="D287" s="104"/>
      <c r="E287" s="104"/>
      <c r="F287" s="104"/>
      <c r="G287" s="104"/>
      <c r="H287" s="104"/>
      <c r="I287" s="104"/>
      <c r="J287" s="104"/>
      <c r="K287" s="104"/>
      <c r="L287" s="165"/>
      <c r="M287" s="161" t="e">
        <f>SUM('Secretariat work plan 2014 '!#REF!)</f>
        <v>#REF!</v>
      </c>
      <c r="N287" s="161">
        <f>SUM(N282:N286)</f>
        <v>895498</v>
      </c>
      <c r="O287" s="161">
        <f>SUM(O282:O286)</f>
        <v>895498</v>
      </c>
      <c r="P287" s="161">
        <f>SUM(P282:P286)</f>
        <v>1017000</v>
      </c>
    </row>
    <row r="288" spans="1:16" ht="15.75" x14ac:dyDescent="0.25">
      <c r="A288" s="105" t="s">
        <v>5</v>
      </c>
      <c r="B288" s="104"/>
      <c r="C288" s="104"/>
      <c r="D288" s="104"/>
      <c r="E288" s="104"/>
      <c r="F288" s="104"/>
      <c r="G288" s="104"/>
      <c r="H288" s="104"/>
      <c r="I288" s="104"/>
      <c r="J288" s="104"/>
      <c r="K288" s="104"/>
      <c r="L288" s="165"/>
      <c r="M288" s="161" t="e">
        <f>0.07*M287</f>
        <v>#REF!</v>
      </c>
      <c r="N288" s="161">
        <f>0.07*N287</f>
        <v>62684.860000000008</v>
      </c>
      <c r="O288" s="161">
        <f>0.07*O287</f>
        <v>62684.860000000008</v>
      </c>
      <c r="P288" s="161">
        <f>0.07*P287</f>
        <v>71190</v>
      </c>
    </row>
    <row r="289" spans="1:16" ht="15.75" x14ac:dyDescent="0.25">
      <c r="A289" s="128" t="s">
        <v>4</v>
      </c>
      <c r="B289" s="129"/>
      <c r="C289" s="129"/>
      <c r="D289" s="129"/>
      <c r="E289" s="129"/>
      <c r="F289" s="129"/>
      <c r="G289" s="129"/>
      <c r="H289" s="129"/>
      <c r="I289" s="129"/>
      <c r="J289" s="129"/>
      <c r="K289" s="129"/>
      <c r="L289" s="166"/>
      <c r="M289" s="167" t="e">
        <f>M288+M287</f>
        <v>#REF!</v>
      </c>
      <c r="N289" s="167">
        <f>N288+N287</f>
        <v>958182.86</v>
      </c>
      <c r="O289" s="167">
        <f>O288+O287</f>
        <v>958182.86</v>
      </c>
      <c r="P289" s="167">
        <f>P288+P287</f>
        <v>1088190</v>
      </c>
    </row>
    <row r="290" spans="1:16" ht="47.25" x14ac:dyDescent="0.25">
      <c r="A290" s="1055" t="s">
        <v>52</v>
      </c>
      <c r="B290" s="66" t="s">
        <v>51</v>
      </c>
      <c r="C290" s="948" t="s">
        <v>50</v>
      </c>
      <c r="D290" s="58"/>
      <c r="E290" s="58"/>
      <c r="F290" s="58"/>
      <c r="G290" s="58"/>
      <c r="H290" s="58"/>
      <c r="I290" s="58"/>
      <c r="J290" s="58"/>
      <c r="K290" s="58"/>
      <c r="L290" s="26" t="s">
        <v>32</v>
      </c>
      <c r="N290" s="26">
        <v>467776</v>
      </c>
      <c r="O290" s="17">
        <f>SUM(N290:N290)</f>
        <v>467776</v>
      </c>
      <c r="P290" s="17">
        <v>467776</v>
      </c>
    </row>
    <row r="291" spans="1:16" ht="15.75" x14ac:dyDescent="0.25">
      <c r="A291" s="1056"/>
      <c r="B291" s="66" t="s">
        <v>49</v>
      </c>
      <c r="C291" s="949"/>
      <c r="D291" s="19"/>
      <c r="E291" s="19"/>
      <c r="F291" s="58"/>
      <c r="G291" s="58"/>
      <c r="H291" s="58"/>
      <c r="I291" s="58"/>
      <c r="J291" s="58"/>
      <c r="K291" s="58"/>
      <c r="L291" s="22" t="s">
        <v>30</v>
      </c>
      <c r="N291" s="77">
        <v>0</v>
      </c>
      <c r="O291" s="17">
        <f>SUM(N291:N291)</f>
        <v>0</v>
      </c>
      <c r="P291" s="17">
        <v>0</v>
      </c>
    </row>
    <row r="292" spans="1:16" ht="47.25" x14ac:dyDescent="0.25">
      <c r="A292" s="1056"/>
      <c r="B292" s="66" t="s">
        <v>48</v>
      </c>
      <c r="C292" s="949"/>
      <c r="D292" s="19"/>
      <c r="E292" s="19"/>
      <c r="F292" s="58"/>
      <c r="G292" s="58"/>
      <c r="H292" s="58"/>
      <c r="I292" s="19"/>
      <c r="J292" s="19"/>
      <c r="K292" s="19"/>
      <c r="L292" s="22" t="s">
        <v>28</v>
      </c>
      <c r="N292" s="77"/>
      <c r="O292" s="17">
        <f>SUM(N292:N292)</f>
        <v>0</v>
      </c>
      <c r="P292" s="17"/>
    </row>
    <row r="293" spans="1:16" ht="15.75" x14ac:dyDescent="0.25">
      <c r="A293" s="1056"/>
      <c r="B293" s="66"/>
      <c r="C293" s="949"/>
      <c r="D293" s="19"/>
      <c r="E293" s="19"/>
      <c r="F293" s="19"/>
      <c r="G293" s="19"/>
      <c r="H293" s="19"/>
      <c r="I293" s="19"/>
      <c r="J293" s="19"/>
      <c r="K293" s="19"/>
      <c r="L293" s="25" t="s">
        <v>27</v>
      </c>
      <c r="N293" s="68">
        <v>0</v>
      </c>
      <c r="O293" s="17">
        <f>SUM(N293:N293)</f>
        <v>0</v>
      </c>
      <c r="P293" s="17">
        <v>0</v>
      </c>
    </row>
    <row r="294" spans="1:16" ht="31.5" x14ac:dyDescent="0.25">
      <c r="A294" s="1057"/>
      <c r="B294" s="66"/>
      <c r="C294" s="950"/>
      <c r="D294" s="19"/>
      <c r="E294" s="19"/>
      <c r="F294" s="19"/>
      <c r="G294" s="19"/>
      <c r="H294" s="19"/>
      <c r="I294" s="19"/>
      <c r="J294" s="19"/>
      <c r="K294" s="19"/>
      <c r="L294" s="23" t="s">
        <v>25</v>
      </c>
      <c r="N294" s="83"/>
      <c r="O294" s="17">
        <f>SUM(N294:N294)</f>
        <v>0</v>
      </c>
      <c r="P294" s="17"/>
    </row>
    <row r="295" spans="1:16" ht="15.75" x14ac:dyDescent="0.25">
      <c r="A295" s="20" t="s">
        <v>6</v>
      </c>
      <c r="B295" s="19"/>
      <c r="C295" s="19"/>
      <c r="D295" s="19"/>
      <c r="E295" s="19"/>
      <c r="F295" s="19"/>
      <c r="G295" s="19"/>
      <c r="H295" s="19"/>
      <c r="I295" s="19"/>
      <c r="J295" s="19"/>
      <c r="K295" s="19"/>
      <c r="L295" s="17"/>
      <c r="M295" s="17" t="e">
        <f>SUM('Secretariat work plan 2014 '!#REF!)</f>
        <v>#REF!</v>
      </c>
      <c r="N295" s="17">
        <f>SUM(N290:N294)</f>
        <v>467776</v>
      </c>
      <c r="O295" s="17">
        <f>SUM(O290:O294)</f>
        <v>467776</v>
      </c>
      <c r="P295" s="17">
        <f>SUM(P290:P294)</f>
        <v>467776</v>
      </c>
    </row>
    <row r="296" spans="1:16" ht="15.75" x14ac:dyDescent="0.25">
      <c r="A296" s="20" t="s">
        <v>5</v>
      </c>
      <c r="B296" s="19"/>
      <c r="C296" s="19"/>
      <c r="D296" s="19"/>
      <c r="E296" s="19"/>
      <c r="F296" s="19"/>
      <c r="G296" s="19"/>
      <c r="H296" s="19"/>
      <c r="I296" s="19"/>
      <c r="J296" s="19"/>
      <c r="K296" s="19"/>
      <c r="L296" s="17"/>
      <c r="M296" s="17" t="e">
        <f>0.07*M295</f>
        <v>#REF!</v>
      </c>
      <c r="N296" s="17">
        <f>0.07*N295</f>
        <v>32744.320000000003</v>
      </c>
      <c r="O296" s="17">
        <f>0.07*O295</f>
        <v>32744.320000000003</v>
      </c>
      <c r="P296" s="17">
        <f>0.07*P295</f>
        <v>32744.320000000003</v>
      </c>
    </row>
    <row r="297" spans="1:16" ht="15.75" x14ac:dyDescent="0.25">
      <c r="A297" s="15" t="s">
        <v>4</v>
      </c>
      <c r="B297" s="14"/>
      <c r="C297" s="14"/>
      <c r="D297" s="14"/>
      <c r="E297" s="14"/>
      <c r="F297" s="14"/>
      <c r="G297" s="14"/>
      <c r="H297" s="14"/>
      <c r="I297" s="14"/>
      <c r="J297" s="14"/>
      <c r="K297" s="14"/>
      <c r="L297" s="13"/>
      <c r="M297" s="91" t="e">
        <f>M296+M295</f>
        <v>#REF!</v>
      </c>
      <c r="N297" s="91">
        <f>N296+N295</f>
        <v>500520.32</v>
      </c>
      <c r="O297" s="91">
        <f>O296+O295</f>
        <v>500520.32</v>
      </c>
      <c r="P297" s="91">
        <f>P296+P295</f>
        <v>500520.32</v>
      </c>
    </row>
    <row r="298" spans="1:16" ht="47.25" x14ac:dyDescent="0.25">
      <c r="A298" s="1065" t="s">
        <v>158</v>
      </c>
      <c r="B298" s="177" t="s">
        <v>159</v>
      </c>
      <c r="C298" s="1066" t="s">
        <v>111</v>
      </c>
      <c r="D298" s="148"/>
      <c r="E298" s="148"/>
      <c r="F298" s="148"/>
      <c r="G298" s="148"/>
      <c r="H298" s="148"/>
      <c r="I298" s="148"/>
      <c r="J298" s="148"/>
      <c r="K298" s="148"/>
      <c r="L298" s="53" t="s">
        <v>32</v>
      </c>
      <c r="N298" s="244">
        <v>987768</v>
      </c>
      <c r="O298" s="161">
        <f>SUM(N298:N298)</f>
        <v>987768</v>
      </c>
      <c r="P298" s="43">
        <v>1000000</v>
      </c>
    </row>
    <row r="299" spans="1:16" ht="15.75" x14ac:dyDescent="0.25">
      <c r="A299" s="1065"/>
      <c r="B299" s="177" t="s">
        <v>252</v>
      </c>
      <c r="C299" s="1067"/>
      <c r="D299" s="110"/>
      <c r="E299" s="110"/>
      <c r="F299" s="110"/>
      <c r="G299" s="110"/>
      <c r="H299" s="148"/>
      <c r="I299" s="148"/>
      <c r="J299" s="148"/>
      <c r="K299" s="110"/>
      <c r="L299" s="215" t="s">
        <v>30</v>
      </c>
      <c r="N299" s="244"/>
      <c r="O299" s="161">
        <f>SUM(N299:N299)</f>
        <v>0</v>
      </c>
      <c r="P299" s="43">
        <v>95000</v>
      </c>
    </row>
    <row r="300" spans="1:16" ht="47.25" x14ac:dyDescent="0.25">
      <c r="A300" s="1065"/>
      <c r="B300" s="177" t="s">
        <v>253</v>
      </c>
      <c r="C300" s="1068"/>
      <c r="D300" s="148"/>
      <c r="E300" s="148"/>
      <c r="F300" s="148"/>
      <c r="G300" s="148"/>
      <c r="H300" s="148"/>
      <c r="I300" s="148"/>
      <c r="J300" s="148"/>
      <c r="K300" s="148"/>
      <c r="L300" s="215" t="s">
        <v>28</v>
      </c>
      <c r="N300" s="244">
        <v>190339</v>
      </c>
      <c r="O300" s="161">
        <f>SUM(N300:N300)</f>
        <v>190339</v>
      </c>
      <c r="P300" s="43">
        <v>190000</v>
      </c>
    </row>
    <row r="301" spans="1:16" ht="15.75" x14ac:dyDescent="0.25">
      <c r="A301" s="1065"/>
      <c r="B301" s="110"/>
      <c r="C301" s="110"/>
      <c r="D301" s="110"/>
      <c r="E301" s="110"/>
      <c r="F301" s="110"/>
      <c r="G301" s="110"/>
      <c r="H301" s="110"/>
      <c r="I301" s="110"/>
      <c r="J301" s="110"/>
      <c r="K301" s="110"/>
      <c r="L301" s="216" t="s">
        <v>27</v>
      </c>
      <c r="N301" s="173">
        <v>15862</v>
      </c>
      <c r="O301" s="161">
        <f>SUM(N301:N301)</f>
        <v>15862</v>
      </c>
      <c r="P301" s="43">
        <v>15200</v>
      </c>
    </row>
    <row r="302" spans="1:16" ht="31.5" x14ac:dyDescent="0.25">
      <c r="A302" s="1065"/>
      <c r="B302" s="104"/>
      <c r="C302" s="104"/>
      <c r="D302" s="104"/>
      <c r="E302" s="104"/>
      <c r="F302" s="104"/>
      <c r="G302" s="104"/>
      <c r="H302" s="104"/>
      <c r="I302" s="104"/>
      <c r="J302" s="104"/>
      <c r="K302" s="104"/>
      <c r="L302" s="163" t="s">
        <v>25</v>
      </c>
      <c r="N302" s="223">
        <v>15862</v>
      </c>
      <c r="O302" s="161">
        <f>SUM(N302:N302)</f>
        <v>15862</v>
      </c>
      <c r="P302" s="43">
        <v>15200</v>
      </c>
    </row>
    <row r="303" spans="1:16" ht="15.75" x14ac:dyDescent="0.25">
      <c r="A303" s="105" t="s">
        <v>6</v>
      </c>
      <c r="B303" s="104"/>
      <c r="C303" s="104"/>
      <c r="D303" s="104"/>
      <c r="E303" s="104"/>
      <c r="F303" s="104"/>
      <c r="G303" s="104"/>
      <c r="H303" s="104"/>
      <c r="I303" s="104"/>
      <c r="J303" s="104"/>
      <c r="K303" s="104"/>
      <c r="L303" s="175"/>
      <c r="M303" s="161" t="e">
        <f>SUM('Secretariat work plan 2014 '!#REF!)</f>
        <v>#REF!</v>
      </c>
      <c r="N303" s="161">
        <f>SUM(N298:N302)</f>
        <v>1209831</v>
      </c>
      <c r="O303" s="161">
        <f>SUM(O298:O302)</f>
        <v>1209831</v>
      </c>
      <c r="P303" s="56">
        <f>SUM(P298:P302)</f>
        <v>1315400</v>
      </c>
    </row>
    <row r="304" spans="1:16" ht="15.75" x14ac:dyDescent="0.25">
      <c r="A304" s="105" t="s">
        <v>5</v>
      </c>
      <c r="B304" s="104"/>
      <c r="C304" s="104"/>
      <c r="D304" s="104"/>
      <c r="E304" s="104"/>
      <c r="F304" s="104"/>
      <c r="G304" s="104"/>
      <c r="H304" s="104"/>
      <c r="I304" s="104"/>
      <c r="J304" s="104"/>
      <c r="K304" s="104"/>
      <c r="L304" s="165"/>
      <c r="M304" s="161" t="e">
        <f>0.07*M303</f>
        <v>#REF!</v>
      </c>
      <c r="N304" s="161">
        <f>0.07*N303</f>
        <v>84688.170000000013</v>
      </c>
      <c r="O304" s="161">
        <f>0.07*O303</f>
        <v>84688.170000000013</v>
      </c>
      <c r="P304" s="161">
        <f>0.07*P303</f>
        <v>92078.000000000015</v>
      </c>
    </row>
    <row r="305" spans="1:16" ht="15.75" x14ac:dyDescent="0.25">
      <c r="A305" s="128" t="s">
        <v>4</v>
      </c>
      <c r="B305" s="129"/>
      <c r="C305" s="129"/>
      <c r="D305" s="129"/>
      <c r="E305" s="129"/>
      <c r="F305" s="129"/>
      <c r="G305" s="129"/>
      <c r="H305" s="129"/>
      <c r="I305" s="129"/>
      <c r="J305" s="129"/>
      <c r="K305" s="129"/>
      <c r="L305" s="166"/>
      <c r="M305" s="167" t="e">
        <f>M304+M303</f>
        <v>#REF!</v>
      </c>
      <c r="N305" s="167">
        <f>N304+N303</f>
        <v>1294519.17</v>
      </c>
      <c r="O305" s="167">
        <f>O304+O303</f>
        <v>1294519.17</v>
      </c>
      <c r="P305" s="167">
        <f>P304+P303</f>
        <v>1407478</v>
      </c>
    </row>
    <row r="306" spans="1:16" ht="15.75" x14ac:dyDescent="0.25">
      <c r="A306" s="35" t="s">
        <v>0</v>
      </c>
      <c r="B306" s="34"/>
      <c r="C306" s="34"/>
      <c r="D306" s="34"/>
      <c r="E306" s="34"/>
      <c r="F306" s="34"/>
      <c r="G306" s="34"/>
      <c r="H306" s="34"/>
      <c r="I306" s="34"/>
      <c r="J306" s="34"/>
      <c r="K306" s="34"/>
      <c r="L306" s="33"/>
      <c r="M306" s="33" t="e">
        <f>M305+M297+M289+M281</f>
        <v>#REF!</v>
      </c>
      <c r="N306" s="33">
        <f>N305+N297+N289+N281</f>
        <v>3448720.21</v>
      </c>
      <c r="O306" s="33" t="e">
        <f>O305+O297+O289+O281</f>
        <v>#REF!</v>
      </c>
      <c r="P306" s="33">
        <f>P305+P297+P289+P281</f>
        <v>4121828.3200000003</v>
      </c>
    </row>
    <row r="307" spans="1:16" ht="15.75" x14ac:dyDescent="0.25">
      <c r="A307" s="65" t="s">
        <v>47</v>
      </c>
      <c r="B307" s="58"/>
      <c r="C307" s="58"/>
      <c r="D307" s="58"/>
      <c r="E307" s="58"/>
      <c r="F307" s="58"/>
      <c r="G307" s="58"/>
      <c r="H307" s="58"/>
      <c r="I307" s="58"/>
      <c r="J307" s="58"/>
      <c r="K307" s="58"/>
      <c r="L307" s="64"/>
      <c r="M307" s="63" t="e">
        <f>M306+M266+M205+M161+M114+M55</f>
        <v>#REF!</v>
      </c>
      <c r="N307" s="63" t="e">
        <f>N306+N266+N205+N161+N114+N55</f>
        <v>#REF!</v>
      </c>
      <c r="O307" s="63" t="e">
        <f>O306+O266+O205+O161+O114+O55</f>
        <v>#REF!</v>
      </c>
      <c r="P307" s="63" t="e">
        <f>P306+P266+P205+P161+P114+P55</f>
        <v>#REF!</v>
      </c>
    </row>
    <row r="308" spans="1:16" ht="15.75" x14ac:dyDescent="0.25">
      <c r="A308" s="62"/>
      <c r="B308" s="50"/>
      <c r="C308" s="50"/>
      <c r="D308" s="50"/>
      <c r="E308" s="50"/>
      <c r="F308" s="50"/>
      <c r="G308" s="50"/>
      <c r="H308" s="50"/>
      <c r="I308" s="50"/>
      <c r="J308" s="50"/>
      <c r="K308" s="50"/>
      <c r="L308" s="56"/>
      <c r="M308" s="56"/>
      <c r="N308" s="56"/>
      <c r="O308" s="56"/>
      <c r="P308" s="56"/>
    </row>
    <row r="309" spans="1:16" s="31" customFormat="1" ht="15.75" x14ac:dyDescent="0.25">
      <c r="A309" s="1069" t="s">
        <v>46</v>
      </c>
      <c r="B309" s="1070"/>
      <c r="C309" s="1070"/>
      <c r="D309" s="1070"/>
      <c r="E309" s="1070"/>
      <c r="F309" s="1070"/>
      <c r="G309" s="1070"/>
      <c r="H309" s="1070"/>
      <c r="I309" s="1070"/>
      <c r="J309" s="1070"/>
      <c r="K309" s="1070"/>
      <c r="L309" s="1070"/>
      <c r="M309" s="1070"/>
      <c r="N309" s="1070"/>
      <c r="O309" s="1070"/>
      <c r="P309" s="1071"/>
    </row>
    <row r="310" spans="1:16" ht="30.75" customHeight="1" x14ac:dyDescent="0.25">
      <c r="A310" s="971" t="s">
        <v>45</v>
      </c>
      <c r="B310" s="971"/>
      <c r="C310" s="970" t="s">
        <v>24</v>
      </c>
      <c r="D310" s="963" t="s">
        <v>23</v>
      </c>
      <c r="E310" s="963"/>
      <c r="F310" s="963"/>
      <c r="G310" s="963"/>
      <c r="H310" s="963" t="s">
        <v>22</v>
      </c>
      <c r="I310" s="963"/>
      <c r="J310" s="963"/>
      <c r="K310" s="963"/>
      <c r="L310" s="963" t="s">
        <v>198</v>
      </c>
      <c r="M310" s="963"/>
      <c r="N310" s="963"/>
      <c r="O310" s="963"/>
      <c r="P310" s="963"/>
    </row>
    <row r="311" spans="1:16" ht="31.5" x14ac:dyDescent="0.25">
      <c r="A311" s="30" t="s">
        <v>21</v>
      </c>
      <c r="B311" s="30" t="s">
        <v>20</v>
      </c>
      <c r="C311" s="970"/>
      <c r="D311" s="29" t="s">
        <v>19</v>
      </c>
      <c r="E311" s="29" t="s">
        <v>18</v>
      </c>
      <c r="F311" s="29" t="s">
        <v>17</v>
      </c>
      <c r="G311" s="29" t="s">
        <v>16</v>
      </c>
      <c r="H311" s="29" t="s">
        <v>19</v>
      </c>
      <c r="I311" s="29" t="s">
        <v>18</v>
      </c>
      <c r="J311" s="29" t="s">
        <v>17</v>
      </c>
      <c r="K311" s="29" t="s">
        <v>16</v>
      </c>
      <c r="L311" s="28" t="s">
        <v>15</v>
      </c>
      <c r="M311" s="30" t="s">
        <v>14</v>
      </c>
      <c r="N311" s="30" t="s">
        <v>13</v>
      </c>
      <c r="O311" s="227" t="s">
        <v>221</v>
      </c>
      <c r="P311" s="29" t="s">
        <v>230</v>
      </c>
    </row>
    <row r="312" spans="1:16" ht="32.25" customHeight="1" x14ac:dyDescent="0.25">
      <c r="A312" s="1049" t="s">
        <v>102</v>
      </c>
      <c r="B312" s="104" t="s">
        <v>217</v>
      </c>
      <c r="C312" s="948" t="s">
        <v>218</v>
      </c>
      <c r="D312" s="24"/>
      <c r="E312" s="24"/>
      <c r="F312" s="24"/>
      <c r="G312" s="24"/>
      <c r="H312" s="24"/>
      <c r="I312" s="24"/>
      <c r="J312" s="24"/>
      <c r="K312" s="24"/>
      <c r="L312" s="26" t="s">
        <v>32</v>
      </c>
      <c r="N312" s="26">
        <v>190275</v>
      </c>
      <c r="O312" s="17">
        <f>SUM(N312:N312)</f>
        <v>190275</v>
      </c>
      <c r="P312" s="17">
        <f>190275+20000</f>
        <v>210275</v>
      </c>
    </row>
    <row r="313" spans="1:16" ht="15.75" x14ac:dyDescent="0.25">
      <c r="A313" s="1049"/>
      <c r="B313" s="104" t="s">
        <v>219</v>
      </c>
      <c r="C313" s="949"/>
      <c r="D313" s="24"/>
      <c r="E313" s="24"/>
      <c r="F313" s="24"/>
      <c r="G313" s="24"/>
      <c r="H313" s="24"/>
      <c r="I313" s="24"/>
      <c r="J313" s="24"/>
      <c r="K313" s="24"/>
      <c r="L313" s="22" t="s">
        <v>30</v>
      </c>
      <c r="N313" s="22">
        <v>17700</v>
      </c>
      <c r="O313" s="17">
        <f>SUM(N313:N313)</f>
        <v>17700</v>
      </c>
      <c r="P313" s="17">
        <v>17700</v>
      </c>
    </row>
    <row r="314" spans="1:16" ht="16.5" customHeight="1" x14ac:dyDescent="0.25">
      <c r="A314" s="1049"/>
      <c r="C314" s="949"/>
      <c r="D314" s="178"/>
      <c r="E314" s="178"/>
      <c r="F314" s="178"/>
      <c r="G314" s="178"/>
      <c r="H314" s="178"/>
      <c r="I314" s="178"/>
      <c r="J314" s="178"/>
      <c r="K314" s="178"/>
      <c r="L314" s="22" t="s">
        <v>28</v>
      </c>
      <c r="N314" s="22">
        <f>'[2]FAO '!M147</f>
        <v>0</v>
      </c>
      <c r="O314" s="17">
        <f>SUM(N314:N314)</f>
        <v>0</v>
      </c>
      <c r="P314" s="17"/>
    </row>
    <row r="315" spans="1:16" ht="15.75" x14ac:dyDescent="0.25">
      <c r="A315" s="1049"/>
      <c r="B315" s="104"/>
      <c r="C315" s="949"/>
      <c r="D315" s="178"/>
      <c r="E315" s="178"/>
      <c r="F315" s="178"/>
      <c r="G315" s="178"/>
      <c r="H315" s="178"/>
      <c r="I315" s="178"/>
      <c r="J315" s="178"/>
      <c r="K315" s="178"/>
      <c r="L315" s="25" t="s">
        <v>27</v>
      </c>
      <c r="N315" s="25">
        <v>4425</v>
      </c>
      <c r="O315" s="17">
        <f>SUM(N315:N315)</f>
        <v>4425</v>
      </c>
      <c r="P315" s="17">
        <v>4425</v>
      </c>
    </row>
    <row r="316" spans="1:16" ht="31.5" x14ac:dyDescent="0.25">
      <c r="A316" s="1049"/>
      <c r="B316" s="84"/>
      <c r="C316" s="949"/>
      <c r="D316" s="178"/>
      <c r="E316" s="178"/>
      <c r="F316" s="178"/>
      <c r="G316" s="178"/>
      <c r="H316" s="178"/>
      <c r="I316" s="178"/>
      <c r="J316" s="178"/>
      <c r="K316" s="178"/>
      <c r="L316" s="23" t="s">
        <v>25</v>
      </c>
      <c r="N316" s="23">
        <v>8850</v>
      </c>
      <c r="O316" s="17">
        <f>SUM(N316:N316)</f>
        <v>8850</v>
      </c>
      <c r="P316" s="17">
        <v>8850</v>
      </c>
    </row>
    <row r="317" spans="1:16" ht="15.75" x14ac:dyDescent="0.25">
      <c r="A317" s="20" t="s">
        <v>6</v>
      </c>
      <c r="B317" s="19"/>
      <c r="C317" s="949"/>
      <c r="D317" s="18"/>
      <c r="E317" s="18"/>
      <c r="F317" s="18"/>
      <c r="G317" s="18"/>
      <c r="H317" s="18"/>
      <c r="I317" s="18"/>
      <c r="J317" s="18"/>
      <c r="K317" s="18"/>
      <c r="L317" s="17"/>
      <c r="M317" s="17" t="e">
        <f>SUM('Secretariat work plan 2014 '!#REF!)</f>
        <v>#REF!</v>
      </c>
      <c r="N317" s="17">
        <f>SUM(N312:N316)</f>
        <v>221250</v>
      </c>
      <c r="O317" s="17">
        <f>SUM(O312:O316)</f>
        <v>221250</v>
      </c>
      <c r="P317" s="17">
        <f>SUM(P312:P316)</f>
        <v>241250</v>
      </c>
    </row>
    <row r="318" spans="1:16" ht="15.75" x14ac:dyDescent="0.25">
      <c r="A318" s="20" t="s">
        <v>5</v>
      </c>
      <c r="B318" s="19"/>
      <c r="C318" s="950"/>
      <c r="D318" s="18"/>
      <c r="E318" s="18"/>
      <c r="F318" s="18"/>
      <c r="G318" s="18"/>
      <c r="H318" s="18"/>
      <c r="I318" s="18"/>
      <c r="J318" s="18"/>
      <c r="K318" s="18"/>
      <c r="L318" s="17"/>
      <c r="M318" s="17" t="e">
        <f>0.07*M317</f>
        <v>#REF!</v>
      </c>
      <c r="N318" s="17">
        <f>0.07*N317</f>
        <v>15487.500000000002</v>
      </c>
      <c r="O318" s="17">
        <f>0.07*O317</f>
        <v>15487.500000000002</v>
      </c>
      <c r="P318" s="17">
        <f>0.07*P317</f>
        <v>16887.5</v>
      </c>
    </row>
    <row r="319" spans="1:16" ht="15.75" x14ac:dyDescent="0.25">
      <c r="A319" s="15" t="s">
        <v>4</v>
      </c>
      <c r="B319" s="14"/>
      <c r="C319" s="14"/>
      <c r="D319" s="14"/>
      <c r="E319" s="14"/>
      <c r="F319" s="14"/>
      <c r="G319" s="14"/>
      <c r="H319" s="14"/>
      <c r="I319" s="14"/>
      <c r="J319" s="14"/>
      <c r="K319" s="14"/>
      <c r="L319" s="13"/>
      <c r="M319" s="91" t="e">
        <f>M318+M317</f>
        <v>#REF!</v>
      </c>
      <c r="N319" s="91">
        <f>N318+N317</f>
        <v>236737.5</v>
      </c>
      <c r="O319" s="91">
        <f>O318+O317</f>
        <v>236737.5</v>
      </c>
      <c r="P319" s="91">
        <f>P318+P317</f>
        <v>258137.5</v>
      </c>
    </row>
    <row r="320" spans="1:16" ht="31.5" customHeight="1" x14ac:dyDescent="0.25">
      <c r="A320" s="1049" t="s">
        <v>44</v>
      </c>
      <c r="B320" s="110" t="s">
        <v>160</v>
      </c>
      <c r="C320" s="983" t="s">
        <v>40</v>
      </c>
      <c r="D320" s="58"/>
      <c r="E320" s="58"/>
      <c r="F320" s="58"/>
      <c r="G320" s="58"/>
      <c r="H320" s="58"/>
      <c r="I320" s="58"/>
      <c r="J320" s="58"/>
      <c r="K320" s="58"/>
      <c r="L320" s="26" t="s">
        <v>32</v>
      </c>
      <c r="N320" s="56">
        <v>30000</v>
      </c>
      <c r="O320" s="56">
        <f>SUM(N320:N320)</f>
        <v>30000</v>
      </c>
      <c r="P320" s="56">
        <v>30000</v>
      </c>
    </row>
    <row r="321" spans="1:16" ht="24" customHeight="1" x14ac:dyDescent="0.25">
      <c r="A321" s="1056"/>
      <c r="B321" s="59" t="s">
        <v>43</v>
      </c>
      <c r="C321" s="984"/>
      <c r="D321" s="58"/>
      <c r="E321" s="58"/>
      <c r="F321" s="58"/>
      <c r="G321" s="58"/>
      <c r="H321" s="58"/>
      <c r="I321" s="58"/>
      <c r="J321" s="58"/>
      <c r="K321" s="58"/>
      <c r="L321" s="22" t="s">
        <v>30</v>
      </c>
      <c r="N321" s="56">
        <v>20000</v>
      </c>
      <c r="O321" s="56">
        <f>SUM(N321:N321)</f>
        <v>20000</v>
      </c>
      <c r="P321" s="56">
        <v>20000</v>
      </c>
    </row>
    <row r="322" spans="1:16" ht="31.5" x14ac:dyDescent="0.25">
      <c r="A322" s="1056"/>
      <c r="B322" s="50"/>
      <c r="C322" s="984"/>
      <c r="D322" s="50"/>
      <c r="E322" s="50"/>
      <c r="F322" s="50"/>
      <c r="G322" s="50"/>
      <c r="H322" s="50"/>
      <c r="I322" s="50"/>
      <c r="J322" s="50"/>
      <c r="K322" s="50"/>
      <c r="L322" s="22" t="s">
        <v>28</v>
      </c>
      <c r="N322" s="56">
        <v>0</v>
      </c>
      <c r="O322" s="56">
        <f>SUM(N322:N322)</f>
        <v>0</v>
      </c>
      <c r="P322" s="56">
        <v>0</v>
      </c>
    </row>
    <row r="323" spans="1:16" ht="15.75" x14ac:dyDescent="0.25">
      <c r="A323" s="1056"/>
      <c r="B323" s="50"/>
      <c r="C323" s="984"/>
      <c r="D323" s="50"/>
      <c r="E323" s="50"/>
      <c r="F323" s="50"/>
      <c r="G323" s="50"/>
      <c r="H323" s="50"/>
      <c r="I323" s="50"/>
      <c r="J323" s="50"/>
      <c r="K323" s="50"/>
      <c r="L323" s="25" t="s">
        <v>27</v>
      </c>
      <c r="N323" s="56">
        <v>0</v>
      </c>
      <c r="O323" s="56">
        <f>SUM(N323:N323)</f>
        <v>0</v>
      </c>
      <c r="P323" s="56">
        <v>0</v>
      </c>
    </row>
    <row r="324" spans="1:16" ht="31.5" x14ac:dyDescent="0.25">
      <c r="A324" s="1057"/>
      <c r="B324" s="50"/>
      <c r="C324" s="985"/>
      <c r="D324" s="50"/>
      <c r="E324" s="50"/>
      <c r="F324" s="50"/>
      <c r="G324" s="50"/>
      <c r="H324" s="50"/>
      <c r="I324" s="50"/>
      <c r="J324" s="50"/>
      <c r="K324" s="50"/>
      <c r="L324" s="23" t="s">
        <v>25</v>
      </c>
      <c r="N324" s="56">
        <v>0</v>
      </c>
      <c r="O324" s="56">
        <v>0</v>
      </c>
      <c r="P324" s="56">
        <v>0</v>
      </c>
    </row>
    <row r="325" spans="1:16" ht="15.75" x14ac:dyDescent="0.25">
      <c r="A325" s="179"/>
      <c r="B325" s="50"/>
      <c r="C325" s="57"/>
      <c r="D325" s="50"/>
      <c r="E325" s="50"/>
      <c r="F325" s="50"/>
      <c r="G325" s="50"/>
      <c r="H325" s="50"/>
      <c r="I325" s="50"/>
      <c r="J325" s="50"/>
      <c r="K325" s="50"/>
      <c r="L325" s="56"/>
      <c r="M325" s="56" t="e">
        <f>SUM('Secretariat work plan 2014 '!#REF!)</f>
        <v>#REF!</v>
      </c>
      <c r="N325" s="56">
        <f>SUM(N320:N324)</f>
        <v>50000</v>
      </c>
      <c r="O325" s="56">
        <f>SUM(O320:O324)</f>
        <v>50000</v>
      </c>
      <c r="P325" s="56">
        <f>SUM(P320:P324)</f>
        <v>50000</v>
      </c>
    </row>
    <row r="326" spans="1:16" ht="15.75" x14ac:dyDescent="0.25">
      <c r="A326" s="179"/>
      <c r="B326" s="50"/>
      <c r="C326" s="57"/>
      <c r="D326" s="50"/>
      <c r="E326" s="50"/>
      <c r="F326" s="50"/>
      <c r="G326" s="50"/>
      <c r="H326" s="50"/>
      <c r="I326" s="50"/>
      <c r="J326" s="50"/>
      <c r="K326" s="50"/>
      <c r="L326" s="56"/>
      <c r="M326" s="56" t="e">
        <f>0.07*M325</f>
        <v>#REF!</v>
      </c>
      <c r="N326" s="56">
        <f>0.07*N325</f>
        <v>3500.0000000000005</v>
      </c>
      <c r="O326" s="56">
        <f>0.07*O325</f>
        <v>3500.0000000000005</v>
      </c>
      <c r="P326" s="56">
        <f>0.07*P325</f>
        <v>3500.0000000000005</v>
      </c>
    </row>
    <row r="327" spans="1:16" ht="15.75" x14ac:dyDescent="0.25">
      <c r="A327" s="55" t="s">
        <v>4</v>
      </c>
      <c r="B327" s="14"/>
      <c r="C327" s="54"/>
      <c r="D327" s="14"/>
      <c r="E327" s="14"/>
      <c r="F327" s="14"/>
      <c r="G327" s="14"/>
      <c r="H327" s="14"/>
      <c r="I327" s="14"/>
      <c r="J327" s="14"/>
      <c r="K327" s="14"/>
      <c r="L327" s="13"/>
      <c r="M327" s="91" t="e">
        <f>M326+M325</f>
        <v>#REF!</v>
      </c>
      <c r="N327" s="91">
        <f>N326+N325</f>
        <v>53500</v>
      </c>
      <c r="O327" s="91">
        <f>O326+O325</f>
        <v>53500</v>
      </c>
      <c r="P327" s="91">
        <f>P326+P325</f>
        <v>53500</v>
      </c>
    </row>
    <row r="328" spans="1:16" ht="47.25" x14ac:dyDescent="0.25">
      <c r="A328" s="1055" t="s">
        <v>161</v>
      </c>
      <c r="B328" s="110" t="s">
        <v>160</v>
      </c>
      <c r="C328" s="948" t="s">
        <v>162</v>
      </c>
      <c r="D328" s="24"/>
      <c r="E328" s="24"/>
      <c r="F328" s="24"/>
      <c r="G328" s="24"/>
      <c r="H328" s="24"/>
      <c r="I328" s="24"/>
      <c r="J328" s="24"/>
      <c r="K328" s="24"/>
      <c r="L328" s="26" t="s">
        <v>32</v>
      </c>
      <c r="N328" s="26">
        <f>0.35*27500</f>
        <v>9625</v>
      </c>
      <c r="O328" s="17">
        <f>SUM(N328:N328)</f>
        <v>9625</v>
      </c>
      <c r="P328" s="245">
        <f>0.35*28350</f>
        <v>9922.5</v>
      </c>
    </row>
    <row r="329" spans="1:16" ht="15.75" x14ac:dyDescent="0.25">
      <c r="A329" s="1056"/>
      <c r="B329" s="59" t="s">
        <v>163</v>
      </c>
      <c r="C329" s="949"/>
      <c r="D329" s="24"/>
      <c r="E329" s="24"/>
      <c r="F329" s="24"/>
      <c r="G329" s="24"/>
      <c r="H329" s="24"/>
      <c r="I329" s="24"/>
      <c r="J329" s="24"/>
      <c r="K329" s="24"/>
      <c r="L329" s="22" t="s">
        <v>30</v>
      </c>
      <c r="N329" s="22">
        <f>0.3*27500</f>
        <v>8250</v>
      </c>
      <c r="O329" s="17">
        <f>SUM(N329:N329)</f>
        <v>8250</v>
      </c>
      <c r="P329" s="245">
        <f>0.3*28350</f>
        <v>8505</v>
      </c>
    </row>
    <row r="330" spans="1:16" ht="31.5" x14ac:dyDescent="0.25">
      <c r="A330" s="1056"/>
      <c r="B330" s="104"/>
      <c r="C330" s="949"/>
      <c r="D330" s="178"/>
      <c r="E330" s="178"/>
      <c r="F330" s="178"/>
      <c r="G330" s="178"/>
      <c r="H330" s="178"/>
      <c r="I330" s="178"/>
      <c r="J330" s="178"/>
      <c r="K330" s="178"/>
      <c r="L330" s="22" t="s">
        <v>28</v>
      </c>
      <c r="N330" s="22">
        <f>0.25*27500</f>
        <v>6875</v>
      </c>
      <c r="O330" s="17">
        <f>SUM(N330:N330)</f>
        <v>6875</v>
      </c>
      <c r="P330" s="245">
        <f>0.25*28350</f>
        <v>7087.5</v>
      </c>
    </row>
    <row r="331" spans="1:16" ht="15.75" x14ac:dyDescent="0.25">
      <c r="A331" s="1056"/>
      <c r="B331" s="104"/>
      <c r="C331" s="949"/>
      <c r="D331" s="178"/>
      <c r="E331" s="178"/>
      <c r="F331" s="178"/>
      <c r="G331" s="178"/>
      <c r="H331" s="178"/>
      <c r="I331" s="178"/>
      <c r="J331" s="178"/>
      <c r="K331" s="178"/>
      <c r="L331" s="25" t="s">
        <v>27</v>
      </c>
      <c r="N331" s="25">
        <f>0.05*27500</f>
        <v>1375</v>
      </c>
      <c r="O331" s="17">
        <f>SUM(N331:N331)</f>
        <v>1375</v>
      </c>
      <c r="P331" s="245">
        <f>0.05*28350</f>
        <v>1417.5</v>
      </c>
    </row>
    <row r="332" spans="1:16" ht="31.5" x14ac:dyDescent="0.25">
      <c r="A332" s="1057"/>
      <c r="B332" s="139"/>
      <c r="C332" s="949"/>
      <c r="D332" s="178"/>
      <c r="E332" s="178"/>
      <c r="F332" s="178"/>
      <c r="G332" s="178"/>
      <c r="H332" s="178"/>
      <c r="I332" s="178"/>
      <c r="J332" s="178"/>
      <c r="K332" s="178"/>
      <c r="L332" s="23" t="s">
        <v>25</v>
      </c>
      <c r="N332" s="23">
        <f>0.05*27500</f>
        <v>1375</v>
      </c>
      <c r="O332" s="17">
        <f>SUM(N332:N332)</f>
        <v>1375</v>
      </c>
      <c r="P332" s="245">
        <f>0.05*28350</f>
        <v>1417.5</v>
      </c>
    </row>
    <row r="333" spans="1:16" ht="15.75" x14ac:dyDescent="0.25">
      <c r="A333" s="20" t="s">
        <v>6</v>
      </c>
      <c r="B333" s="19"/>
      <c r="C333" s="949"/>
      <c r="D333" s="18"/>
      <c r="E333" s="18"/>
      <c r="F333" s="18"/>
      <c r="G333" s="18"/>
      <c r="H333" s="18"/>
      <c r="I333" s="18"/>
      <c r="J333" s="18"/>
      <c r="K333" s="18"/>
      <c r="L333" s="17"/>
      <c r="M333" s="17" t="e">
        <f>SUM('Secretariat work plan 2014 '!#REF!)</f>
        <v>#REF!</v>
      </c>
      <c r="N333" s="17">
        <f>SUM(N328:N332)</f>
        <v>27500</v>
      </c>
      <c r="O333" s="17">
        <f>SUM(O328:O332)</f>
        <v>27500</v>
      </c>
      <c r="P333" s="245">
        <f>SUM(P328:P332)</f>
        <v>28350</v>
      </c>
    </row>
    <row r="334" spans="1:16" ht="15.75" x14ac:dyDescent="0.25">
      <c r="A334" s="180" t="s">
        <v>5</v>
      </c>
      <c r="B334" s="181"/>
      <c r="C334" s="98"/>
      <c r="D334" s="182"/>
      <c r="E334" s="182"/>
      <c r="F334" s="182"/>
      <c r="G334" s="182"/>
      <c r="H334" s="182"/>
      <c r="I334" s="182"/>
      <c r="J334" s="182"/>
      <c r="K334" s="182"/>
      <c r="L334" s="183"/>
      <c r="M334" s="183" t="e">
        <f>0.07*M333</f>
        <v>#REF!</v>
      </c>
      <c r="N334" s="183">
        <f>0.07*N333</f>
        <v>1925.0000000000002</v>
      </c>
      <c r="O334" s="183">
        <f>0.07*O333</f>
        <v>1925.0000000000002</v>
      </c>
      <c r="P334" s="246">
        <f>0.07*P333</f>
        <v>1984.5000000000002</v>
      </c>
    </row>
    <row r="335" spans="1:16" ht="15.75" x14ac:dyDescent="0.25">
      <c r="A335" s="184" t="s">
        <v>4</v>
      </c>
      <c r="B335" s="185"/>
      <c r="C335" s="185"/>
      <c r="D335" s="185"/>
      <c r="E335" s="185"/>
      <c r="F335" s="185"/>
      <c r="G335" s="185"/>
      <c r="H335" s="185"/>
      <c r="I335" s="185"/>
      <c r="J335" s="185"/>
      <c r="K335" s="185"/>
      <c r="L335" s="186"/>
      <c r="M335" s="187" t="e">
        <f>M334+M333</f>
        <v>#REF!</v>
      </c>
      <c r="N335" s="187">
        <f>N334+N333</f>
        <v>29425</v>
      </c>
      <c r="O335" s="187">
        <f>O334+O333</f>
        <v>29425</v>
      </c>
      <c r="P335" s="187">
        <f>P334+P333</f>
        <v>30334.5</v>
      </c>
    </row>
    <row r="336" spans="1:16" ht="47.25" customHeight="1" x14ac:dyDescent="0.25">
      <c r="A336" s="1055" t="s">
        <v>164</v>
      </c>
      <c r="B336" s="188" t="s">
        <v>37</v>
      </c>
      <c r="C336" s="1058" t="s">
        <v>257</v>
      </c>
      <c r="D336" s="49"/>
      <c r="E336" s="49"/>
      <c r="F336" s="49"/>
      <c r="G336" s="49"/>
      <c r="H336" s="49"/>
      <c r="I336" s="49"/>
      <c r="J336" s="49"/>
      <c r="K336" s="49"/>
      <c r="L336" s="53" t="s">
        <v>32</v>
      </c>
      <c r="N336" s="26">
        <v>95138</v>
      </c>
      <c r="O336" s="39">
        <f>SUM(N336:N336)</f>
        <v>95138</v>
      </c>
      <c r="P336" s="26">
        <v>95138</v>
      </c>
    </row>
    <row r="337" spans="1:16" ht="36.75" customHeight="1" x14ac:dyDescent="0.25">
      <c r="A337" s="1056"/>
      <c r="B337" s="188"/>
      <c r="C337" s="1059"/>
      <c r="D337" s="44"/>
      <c r="E337" s="44"/>
      <c r="F337" s="44"/>
      <c r="G337" s="44"/>
      <c r="H337" s="44"/>
      <c r="I337" s="44"/>
      <c r="J337" s="44"/>
      <c r="K337" s="44"/>
      <c r="L337" s="51" t="s">
        <v>30</v>
      </c>
      <c r="N337" s="22">
        <v>8850</v>
      </c>
      <c r="O337" s="39">
        <f>SUM(N337:N337)</f>
        <v>8850</v>
      </c>
      <c r="P337" s="22">
        <v>8850</v>
      </c>
    </row>
    <row r="338" spans="1:16" ht="31.5" x14ac:dyDescent="0.25">
      <c r="A338" s="1056"/>
      <c r="B338" s="59"/>
      <c r="C338" s="1059"/>
      <c r="D338" s="44"/>
      <c r="E338" s="44"/>
      <c r="F338" s="44"/>
      <c r="G338" s="44"/>
      <c r="H338" s="44"/>
      <c r="I338" s="44"/>
      <c r="J338" s="44"/>
      <c r="K338" s="44"/>
      <c r="L338" s="51" t="s">
        <v>28</v>
      </c>
      <c r="N338" s="189" t="s">
        <v>254</v>
      </c>
      <c r="O338" s="39">
        <f>SUM(N338:N338)</f>
        <v>0</v>
      </c>
      <c r="P338" s="247" t="s">
        <v>254</v>
      </c>
    </row>
    <row r="339" spans="1:16" ht="15.75" x14ac:dyDescent="0.25">
      <c r="A339" s="1056"/>
      <c r="B339" s="19"/>
      <c r="C339" s="1059"/>
      <c r="D339" s="44"/>
      <c r="E339" s="44"/>
      <c r="F339" s="44"/>
      <c r="G339" s="44"/>
      <c r="H339" s="44"/>
      <c r="I339" s="44"/>
      <c r="J339" s="44"/>
      <c r="K339" s="44"/>
      <c r="L339" s="48" t="s">
        <v>27</v>
      </c>
      <c r="N339" s="25">
        <v>2212</v>
      </c>
      <c r="O339" s="39">
        <f>SUM(N339:N339)</f>
        <v>2212</v>
      </c>
      <c r="P339" s="25">
        <v>2212</v>
      </c>
    </row>
    <row r="340" spans="1:16" ht="31.5" x14ac:dyDescent="0.25">
      <c r="A340" s="1057"/>
      <c r="B340" s="19"/>
      <c r="C340" s="1059"/>
      <c r="D340" s="40"/>
      <c r="E340" s="40"/>
      <c r="F340" s="40"/>
      <c r="G340" s="40"/>
      <c r="H340" s="40"/>
      <c r="I340" s="40"/>
      <c r="J340" s="40"/>
      <c r="K340" s="40"/>
      <c r="L340" s="47" t="s">
        <v>25</v>
      </c>
      <c r="N340" s="23">
        <v>4425</v>
      </c>
      <c r="O340" s="39">
        <f>SUM(N340:N340)</f>
        <v>4425</v>
      </c>
      <c r="P340" s="23">
        <v>4425</v>
      </c>
    </row>
    <row r="341" spans="1:16" ht="15.75" x14ac:dyDescent="0.25">
      <c r="A341" s="46" t="s">
        <v>6</v>
      </c>
      <c r="B341" s="45"/>
      <c r="C341" s="1059"/>
      <c r="D341" s="44"/>
      <c r="E341" s="44"/>
      <c r="F341" s="44"/>
      <c r="G341" s="44"/>
      <c r="H341" s="44"/>
      <c r="I341" s="44"/>
      <c r="J341" s="44"/>
      <c r="K341" s="44"/>
      <c r="L341" s="43"/>
      <c r="M341" s="43" t="e">
        <f>SUM('Secretariat work plan 2014 '!#REF!)</f>
        <v>#REF!</v>
      </c>
      <c r="N341" s="43">
        <f>SUM(N336:N340)</f>
        <v>110625</v>
      </c>
      <c r="O341" s="43">
        <f>SUM(O336:O340)</f>
        <v>110625</v>
      </c>
      <c r="P341" s="43">
        <f>SUM(P336:P340)</f>
        <v>110625</v>
      </c>
    </row>
    <row r="342" spans="1:16" ht="15.75" x14ac:dyDescent="0.25">
      <c r="A342" s="42" t="s">
        <v>5</v>
      </c>
      <c r="B342" s="41"/>
      <c r="C342" s="1060"/>
      <c r="D342" s="40"/>
      <c r="E342" s="40"/>
      <c r="F342" s="40"/>
      <c r="G342" s="40"/>
      <c r="H342" s="40"/>
      <c r="I342" s="40"/>
      <c r="J342" s="40"/>
      <c r="K342" s="40"/>
      <c r="L342" s="39"/>
      <c r="M342" s="39" t="e">
        <f>0.07*M341</f>
        <v>#REF!</v>
      </c>
      <c r="N342" s="39">
        <f>0.07*N341</f>
        <v>7743.7500000000009</v>
      </c>
      <c r="O342" s="39">
        <f>0.07*O341</f>
        <v>7743.7500000000009</v>
      </c>
      <c r="P342" s="39">
        <f>0.07*P341</f>
        <v>7743.7500000000009</v>
      </c>
    </row>
    <row r="343" spans="1:16" ht="15.75" x14ac:dyDescent="0.25">
      <c r="A343" s="140" t="s">
        <v>4</v>
      </c>
      <c r="B343" s="141"/>
      <c r="C343" s="141"/>
      <c r="D343" s="141"/>
      <c r="E343" s="141"/>
      <c r="F343" s="141"/>
      <c r="G343" s="141"/>
      <c r="H343" s="141"/>
      <c r="I343" s="141"/>
      <c r="J343" s="141"/>
      <c r="K343" s="141"/>
      <c r="L343" s="142"/>
      <c r="M343" s="143" t="e">
        <f>M342+M341</f>
        <v>#REF!</v>
      </c>
      <c r="N343" s="143">
        <f>N342+N341</f>
        <v>118368.75</v>
      </c>
      <c r="O343" s="143">
        <f>O342+O341</f>
        <v>118368.75</v>
      </c>
      <c r="P343" s="143">
        <f>P342+P341</f>
        <v>118368.75</v>
      </c>
    </row>
    <row r="344" spans="1:16" ht="47.25" x14ac:dyDescent="0.25">
      <c r="A344" s="1055" t="s">
        <v>42</v>
      </c>
      <c r="B344" s="52" t="s">
        <v>41</v>
      </c>
      <c r="C344" s="1058" t="s">
        <v>40</v>
      </c>
      <c r="D344" s="49"/>
      <c r="E344" s="49"/>
      <c r="F344" s="49"/>
      <c r="G344" s="49"/>
      <c r="H344" s="49"/>
      <c r="I344" s="49"/>
      <c r="J344" s="49"/>
      <c r="K344" s="49"/>
      <c r="L344" s="53" t="s">
        <v>32</v>
      </c>
      <c r="N344" s="26">
        <v>40000</v>
      </c>
      <c r="O344" s="39">
        <f>SUM(N344:N344)</f>
        <v>40000</v>
      </c>
      <c r="P344" s="26">
        <v>40000</v>
      </c>
    </row>
    <row r="345" spans="1:16" ht="31.5" x14ac:dyDescent="0.25">
      <c r="A345" s="1056"/>
      <c r="B345" s="52" t="s">
        <v>39</v>
      </c>
      <c r="C345" s="1059"/>
      <c r="D345" s="49"/>
      <c r="E345" s="49"/>
      <c r="F345" s="49"/>
      <c r="G345" s="49"/>
      <c r="H345" s="49"/>
      <c r="I345" s="49"/>
      <c r="J345" s="49"/>
      <c r="K345" s="49"/>
      <c r="L345" s="51" t="s">
        <v>30</v>
      </c>
      <c r="N345" s="22">
        <v>15000</v>
      </c>
      <c r="O345" s="39">
        <f>SUM(N345:N345)</f>
        <v>15000</v>
      </c>
      <c r="P345" s="22">
        <v>15000</v>
      </c>
    </row>
    <row r="346" spans="1:16" ht="30.75" customHeight="1" x14ac:dyDescent="0.25">
      <c r="A346" s="1056"/>
      <c r="B346" s="52" t="s">
        <v>38</v>
      </c>
      <c r="C346" s="1059"/>
      <c r="D346" s="49"/>
      <c r="E346" s="49"/>
      <c r="F346" s="49"/>
      <c r="G346" s="49"/>
      <c r="H346" s="49"/>
      <c r="I346" s="49"/>
      <c r="J346" s="49"/>
      <c r="K346" s="49"/>
      <c r="L346" s="51" t="s">
        <v>28</v>
      </c>
      <c r="N346" s="22">
        <v>60000</v>
      </c>
      <c r="O346" s="39">
        <f>SUM(N346:N346)</f>
        <v>60000</v>
      </c>
      <c r="P346" s="22">
        <v>60000</v>
      </c>
    </row>
    <row r="347" spans="1:16" ht="31.5" x14ac:dyDescent="0.25">
      <c r="A347" s="1056"/>
      <c r="B347" s="50" t="s">
        <v>37</v>
      </c>
      <c r="C347" s="1059"/>
      <c r="D347" s="49"/>
      <c r="E347" s="49"/>
      <c r="F347" s="49"/>
      <c r="G347" s="49"/>
      <c r="H347" s="49"/>
      <c r="I347" s="49"/>
      <c r="J347" s="49"/>
      <c r="K347" s="49"/>
      <c r="L347" s="48" t="s">
        <v>27</v>
      </c>
      <c r="N347" s="39">
        <f>SUM(L347:L347)</f>
        <v>0</v>
      </c>
      <c r="O347" s="39">
        <f>SUM(N347:N347)</f>
        <v>0</v>
      </c>
      <c r="P347" s="39">
        <f>SUM(N347:O347)</f>
        <v>0</v>
      </c>
    </row>
    <row r="348" spans="1:16" ht="31.5" x14ac:dyDescent="0.25">
      <c r="A348" s="1057"/>
      <c r="B348" s="19"/>
      <c r="C348" s="1059"/>
      <c r="D348" s="40"/>
      <c r="E348" s="40"/>
      <c r="F348" s="40"/>
      <c r="G348" s="40"/>
      <c r="H348" s="40"/>
      <c r="I348" s="40"/>
      <c r="J348" s="40"/>
      <c r="K348" s="40"/>
      <c r="L348" s="47" t="s">
        <v>25</v>
      </c>
      <c r="N348" s="23">
        <f>[11]UNDP!N202+[11]UNDP!N210</f>
        <v>5000</v>
      </c>
      <c r="O348" s="39">
        <f>SUM(N348:N348)</f>
        <v>5000</v>
      </c>
      <c r="P348" s="39">
        <v>5000</v>
      </c>
    </row>
    <row r="349" spans="1:16" ht="15.75" x14ac:dyDescent="0.25">
      <c r="A349" s="46" t="s">
        <v>6</v>
      </c>
      <c r="B349" s="45"/>
      <c r="C349" s="1059"/>
      <c r="D349" s="44"/>
      <c r="E349" s="44"/>
      <c r="F349" s="44"/>
      <c r="G349" s="44"/>
      <c r="H349" s="44"/>
      <c r="I349" s="44"/>
      <c r="J349" s="44"/>
      <c r="K349" s="44"/>
      <c r="L349" s="43"/>
      <c r="M349" s="43" t="e">
        <f>SUM('Secretariat work plan 2014 '!#REF!)</f>
        <v>#REF!</v>
      </c>
      <c r="N349" s="43">
        <f>SUM(N344:N348)</f>
        <v>120000</v>
      </c>
      <c r="O349" s="43">
        <f>SUM(O344:O348)</f>
        <v>120000</v>
      </c>
      <c r="P349" s="43">
        <f>SUM(P344:P348)</f>
        <v>120000</v>
      </c>
    </row>
    <row r="350" spans="1:16" ht="15.75" x14ac:dyDescent="0.25">
      <c r="A350" s="42" t="s">
        <v>5</v>
      </c>
      <c r="B350" s="41"/>
      <c r="C350" s="1060"/>
      <c r="D350" s="40"/>
      <c r="E350" s="40"/>
      <c r="F350" s="40"/>
      <c r="G350" s="40"/>
      <c r="H350" s="40"/>
      <c r="I350" s="40"/>
      <c r="J350" s="40"/>
      <c r="K350" s="40"/>
      <c r="L350" s="39"/>
      <c r="M350" s="39" t="e">
        <f>0.07*M349</f>
        <v>#REF!</v>
      </c>
      <c r="N350" s="39">
        <f>0.07*N349</f>
        <v>8400</v>
      </c>
      <c r="O350" s="39">
        <f>0.07*O349</f>
        <v>8400</v>
      </c>
      <c r="P350" s="39">
        <f>0.07*P349</f>
        <v>8400</v>
      </c>
    </row>
    <row r="351" spans="1:16" ht="15.75" x14ac:dyDescent="0.25">
      <c r="A351" s="38" t="s">
        <v>4</v>
      </c>
      <c r="B351" s="37"/>
      <c r="C351" s="37"/>
      <c r="D351" s="37"/>
      <c r="E351" s="37"/>
      <c r="F351" s="37"/>
      <c r="G351" s="37"/>
      <c r="H351" s="37"/>
      <c r="I351" s="37"/>
      <c r="J351" s="37"/>
      <c r="K351" s="37"/>
      <c r="L351" s="36"/>
      <c r="M351" s="190" t="e">
        <f>M350+M349</f>
        <v>#REF!</v>
      </c>
      <c r="N351" s="190">
        <f>N350+N349</f>
        <v>128400</v>
      </c>
      <c r="O351" s="190">
        <f>O350+O349</f>
        <v>128400</v>
      </c>
      <c r="P351" s="190">
        <f>P350+P349</f>
        <v>128400</v>
      </c>
    </row>
    <row r="352" spans="1:16" ht="47.25" x14ac:dyDescent="0.25">
      <c r="A352" s="1055" t="s">
        <v>42</v>
      </c>
      <c r="B352" s="191" t="s">
        <v>166</v>
      </c>
      <c r="C352" s="1058" t="s">
        <v>162</v>
      </c>
      <c r="D352" s="49"/>
      <c r="E352" s="49"/>
      <c r="F352" s="49"/>
      <c r="G352" s="49"/>
      <c r="H352" s="49"/>
      <c r="I352" s="49"/>
      <c r="J352" s="49"/>
      <c r="K352" s="49"/>
      <c r="L352" s="53" t="s">
        <v>32</v>
      </c>
      <c r="N352" s="26">
        <f>0.35*51250</f>
        <v>17937.5</v>
      </c>
      <c r="O352" s="39">
        <f>SUM(N352:N352)</f>
        <v>17937.5</v>
      </c>
      <c r="P352" s="26">
        <f>0.35*52650</f>
        <v>18427.5</v>
      </c>
    </row>
    <row r="353" spans="1:17" ht="31.5" x14ac:dyDescent="0.25">
      <c r="A353" s="1056"/>
      <c r="B353" s="50" t="s">
        <v>37</v>
      </c>
      <c r="C353" s="1059"/>
      <c r="D353" s="49"/>
      <c r="E353" s="49"/>
      <c r="F353" s="49"/>
      <c r="G353" s="49"/>
      <c r="H353" s="49"/>
      <c r="I353" s="49"/>
      <c r="J353" s="49"/>
      <c r="K353" s="49"/>
      <c r="L353" s="51" t="s">
        <v>30</v>
      </c>
      <c r="N353" s="22">
        <f>0.3*51250</f>
        <v>15375</v>
      </c>
      <c r="O353" s="39">
        <f>SUM(N353:N353)</f>
        <v>15375</v>
      </c>
      <c r="P353" s="22">
        <f>0.3*52650</f>
        <v>15795</v>
      </c>
    </row>
    <row r="354" spans="1:17" ht="31.5" x14ac:dyDescent="0.25">
      <c r="A354" s="1056"/>
      <c r="C354" s="1059"/>
      <c r="D354" s="44"/>
      <c r="E354" s="44"/>
      <c r="F354" s="44"/>
      <c r="G354" s="44"/>
      <c r="H354" s="44"/>
      <c r="I354" s="44"/>
      <c r="J354" s="44"/>
      <c r="K354" s="44"/>
      <c r="L354" s="51" t="s">
        <v>28</v>
      </c>
      <c r="N354" s="22">
        <f>0.25*51250</f>
        <v>12812.5</v>
      </c>
      <c r="O354" s="39">
        <f>SUM(N354:N354)</f>
        <v>12812.5</v>
      </c>
      <c r="P354" s="22">
        <f>0.25*52650</f>
        <v>13162.5</v>
      </c>
    </row>
    <row r="355" spans="1:17" ht="15.75" x14ac:dyDescent="0.25">
      <c r="A355" s="1056"/>
      <c r="B355" s="19"/>
      <c r="C355" s="1059"/>
      <c r="D355" s="44"/>
      <c r="E355" s="44"/>
      <c r="F355" s="44"/>
      <c r="G355" s="44"/>
      <c r="H355" s="44"/>
      <c r="I355" s="44"/>
      <c r="J355" s="44"/>
      <c r="K355" s="44"/>
      <c r="L355" s="48" t="s">
        <v>27</v>
      </c>
      <c r="N355" s="25">
        <f>0.05*51250</f>
        <v>2562.5</v>
      </c>
      <c r="O355" s="39">
        <f>SUM(N355:N355)</f>
        <v>2562.5</v>
      </c>
      <c r="P355" s="25">
        <f>0.05*52650</f>
        <v>2632.5</v>
      </c>
    </row>
    <row r="356" spans="1:17" ht="31.5" x14ac:dyDescent="0.25">
      <c r="A356" s="1057"/>
      <c r="B356" s="19"/>
      <c r="C356" s="1059"/>
      <c r="D356" s="40"/>
      <c r="E356" s="40"/>
      <c r="F356" s="40"/>
      <c r="G356" s="40"/>
      <c r="H356" s="40"/>
      <c r="I356" s="40"/>
      <c r="J356" s="40"/>
      <c r="K356" s="40"/>
      <c r="L356" s="47" t="s">
        <v>25</v>
      </c>
      <c r="N356" s="23">
        <f>0.05*51250</f>
        <v>2562.5</v>
      </c>
      <c r="O356" s="39">
        <f>SUM(N356:N356)</f>
        <v>2562.5</v>
      </c>
      <c r="P356" s="23">
        <f>0.05*52650</f>
        <v>2632.5</v>
      </c>
    </row>
    <row r="357" spans="1:17" ht="15.75" x14ac:dyDescent="0.25">
      <c r="A357" s="46" t="s">
        <v>6</v>
      </c>
      <c r="B357" s="45"/>
      <c r="C357" s="1059"/>
      <c r="D357" s="44"/>
      <c r="E357" s="44"/>
      <c r="F357" s="44"/>
      <c r="G357" s="44"/>
      <c r="H357" s="44"/>
      <c r="I357" s="44"/>
      <c r="J357" s="44"/>
      <c r="K357" s="44"/>
      <c r="L357" s="43"/>
      <c r="M357" s="43" t="e">
        <f>SUM('Secretariat work plan 2014 '!#REF!)</f>
        <v>#REF!</v>
      </c>
      <c r="N357" s="43">
        <f>SUM(N352:N356)</f>
        <v>51250</v>
      </c>
      <c r="O357" s="43">
        <f>SUM(O352:O356)</f>
        <v>51250</v>
      </c>
      <c r="P357" s="43">
        <f>SUM(P352:P356)</f>
        <v>52650</v>
      </c>
    </row>
    <row r="358" spans="1:17" ht="15.75" x14ac:dyDescent="0.25">
      <c r="A358" s="42" t="s">
        <v>5</v>
      </c>
      <c r="B358" s="41"/>
      <c r="C358" s="1060"/>
      <c r="D358" s="40"/>
      <c r="E358" s="40"/>
      <c r="F358" s="40"/>
      <c r="G358" s="40"/>
      <c r="H358" s="40"/>
      <c r="I358" s="40"/>
      <c r="J358" s="40"/>
      <c r="K358" s="40"/>
      <c r="L358" s="39"/>
      <c r="M358" s="39" t="e">
        <f>0.07*M357</f>
        <v>#REF!</v>
      </c>
      <c r="N358" s="39">
        <f>0.07*N357</f>
        <v>3587.5000000000005</v>
      </c>
      <c r="O358" s="39">
        <f>0.07*O357</f>
        <v>3587.5000000000005</v>
      </c>
      <c r="P358" s="39">
        <f>0.07*P357</f>
        <v>3685.5000000000005</v>
      </c>
    </row>
    <row r="359" spans="1:17" ht="15.75" x14ac:dyDescent="0.25">
      <c r="A359" s="140" t="s">
        <v>4</v>
      </c>
      <c r="B359" s="141"/>
      <c r="C359" s="141"/>
      <c r="D359" s="141"/>
      <c r="E359" s="141"/>
      <c r="F359" s="141"/>
      <c r="G359" s="141"/>
      <c r="H359" s="141"/>
      <c r="I359" s="141"/>
      <c r="J359" s="141"/>
      <c r="K359" s="141"/>
      <c r="L359" s="142"/>
      <c r="M359" s="143" t="e">
        <f>M358+M357</f>
        <v>#REF!</v>
      </c>
      <c r="N359" s="143">
        <f>N358+N357</f>
        <v>54837.5</v>
      </c>
      <c r="O359" s="143">
        <f>O358+O357</f>
        <v>54837.5</v>
      </c>
      <c r="P359" s="143">
        <f>P358+P357</f>
        <v>56335.5</v>
      </c>
    </row>
    <row r="360" spans="1:17" ht="47.25" x14ac:dyDescent="0.25">
      <c r="A360" s="1055" t="s">
        <v>167</v>
      </c>
      <c r="B360" s="21" t="s">
        <v>168</v>
      </c>
      <c r="C360" s="983" t="s">
        <v>169</v>
      </c>
      <c r="D360" s="58"/>
      <c r="E360" s="58"/>
      <c r="F360" s="58"/>
      <c r="G360" s="58"/>
      <c r="H360" s="58"/>
      <c r="I360" s="58"/>
      <c r="J360" s="58"/>
      <c r="K360" s="58"/>
      <c r="L360" s="26" t="s">
        <v>32</v>
      </c>
      <c r="N360" s="56">
        <f>'[3]Workings (2)'!$J$71</f>
        <v>218913.23251500001</v>
      </c>
      <c r="O360" s="56">
        <f>SUM(N360:N360)</f>
        <v>218913.23251500001</v>
      </c>
      <c r="P360" s="56">
        <v>218913</v>
      </c>
    </row>
    <row r="361" spans="1:17" ht="15.75" x14ac:dyDescent="0.25">
      <c r="A361" s="1056"/>
      <c r="B361" s="21" t="s">
        <v>170</v>
      </c>
      <c r="C361" s="984"/>
      <c r="D361" s="58"/>
      <c r="E361" s="58"/>
      <c r="F361" s="58"/>
      <c r="G361" s="58"/>
      <c r="H361" s="58"/>
      <c r="I361" s="58"/>
      <c r="J361" s="58"/>
      <c r="K361" s="58"/>
      <c r="L361" s="22" t="s">
        <v>30</v>
      </c>
      <c r="N361" s="56">
        <f>'[3]Workings (2)'!$J$72</f>
        <v>63000</v>
      </c>
      <c r="O361" s="56">
        <f>SUM(N361:N361)</f>
        <v>63000</v>
      </c>
      <c r="P361" s="56">
        <v>63000</v>
      </c>
    </row>
    <row r="362" spans="1:17" ht="35.25" customHeight="1" x14ac:dyDescent="0.25">
      <c r="A362" s="1056"/>
      <c r="B362" s="21" t="s">
        <v>171</v>
      </c>
      <c r="C362" s="984"/>
      <c r="D362" s="50"/>
      <c r="E362" s="58"/>
      <c r="F362" s="58"/>
      <c r="G362" s="58"/>
      <c r="H362" s="58"/>
      <c r="I362" s="50"/>
      <c r="J362" s="50"/>
      <c r="K362" s="50"/>
      <c r="L362" s="22" t="s">
        <v>28</v>
      </c>
      <c r="N362" s="56">
        <f>'[3]Workings (2)'!$J$74</f>
        <v>20000</v>
      </c>
      <c r="O362" s="56">
        <f>SUM(N362:N362)</f>
        <v>20000</v>
      </c>
      <c r="P362" s="56">
        <v>20000</v>
      </c>
    </row>
    <row r="363" spans="1:17" ht="15.75" x14ac:dyDescent="0.25">
      <c r="A363" s="1056"/>
      <c r="B363" s="21"/>
      <c r="C363" s="984"/>
      <c r="D363" s="50"/>
      <c r="E363" s="50"/>
      <c r="F363" s="50"/>
      <c r="G363" s="50"/>
      <c r="H363" s="50"/>
      <c r="I363" s="50"/>
      <c r="J363" s="50"/>
      <c r="K363" s="50"/>
      <c r="L363" s="25" t="s">
        <v>27</v>
      </c>
      <c r="N363" s="56">
        <f>'[3]Workings (2)'!$J$73</f>
        <v>70000</v>
      </c>
      <c r="O363" s="56">
        <f>SUM(N363:N363)</f>
        <v>70000</v>
      </c>
      <c r="P363" s="56">
        <v>70000</v>
      </c>
    </row>
    <row r="364" spans="1:17" ht="51" customHeight="1" x14ac:dyDescent="0.25">
      <c r="A364" s="1057"/>
      <c r="B364" s="21"/>
      <c r="C364" s="984"/>
      <c r="D364" s="50"/>
      <c r="E364" s="50"/>
      <c r="F364" s="50"/>
      <c r="G364" s="50"/>
      <c r="H364" s="50"/>
      <c r="I364" s="50"/>
      <c r="J364" s="50"/>
      <c r="K364" s="50"/>
      <c r="L364" s="23" t="s">
        <v>25</v>
      </c>
      <c r="N364" s="56">
        <f>'[3]Workings (2)'!$J$75</f>
        <v>67500</v>
      </c>
      <c r="O364" s="56">
        <f>SUM(N364:N364)</f>
        <v>67500</v>
      </c>
      <c r="P364" s="56">
        <v>67500</v>
      </c>
    </row>
    <row r="365" spans="1:17" ht="15.75" x14ac:dyDescent="0.25">
      <c r="A365" s="20" t="s">
        <v>6</v>
      </c>
      <c r="B365" s="19"/>
      <c r="C365" s="50"/>
      <c r="D365" s="50"/>
      <c r="E365" s="50"/>
      <c r="F365" s="50"/>
      <c r="G365" s="50"/>
      <c r="H365" s="50"/>
      <c r="I365" s="50"/>
      <c r="J365" s="50"/>
      <c r="K365" s="50"/>
      <c r="L365" s="56"/>
      <c r="M365" s="56" t="e">
        <f>SUM('Secretariat work plan 2014 '!#REF!)</f>
        <v>#REF!</v>
      </c>
      <c r="N365" s="56">
        <f>SUM(N360:N364)</f>
        <v>439413.23251500004</v>
      </c>
      <c r="O365" s="248">
        <f>SUM(O360:O364)</f>
        <v>439413.23251500004</v>
      </c>
      <c r="P365" s="56">
        <f>SUM(P360:P364)</f>
        <v>439413</v>
      </c>
    </row>
    <row r="366" spans="1:17" ht="15.75" x14ac:dyDescent="0.25">
      <c r="A366" s="20" t="s">
        <v>5</v>
      </c>
      <c r="B366" s="19"/>
      <c r="C366" s="50"/>
      <c r="D366" s="50"/>
      <c r="E366" s="50"/>
      <c r="F366" s="50"/>
      <c r="G366" s="50"/>
      <c r="H366" s="50"/>
      <c r="I366" s="50"/>
      <c r="J366" s="50"/>
      <c r="K366" s="50"/>
      <c r="L366" s="56"/>
      <c r="M366" s="56" t="e">
        <f>0.07*M365</f>
        <v>#REF!</v>
      </c>
      <c r="N366" s="56">
        <f>0.07*N365</f>
        <v>30758.926276050006</v>
      </c>
      <c r="O366" s="56">
        <f>0.07*O365</f>
        <v>30758.926276050006</v>
      </c>
      <c r="P366" s="56">
        <f>0.07*P365</f>
        <v>30758.910000000003</v>
      </c>
    </row>
    <row r="367" spans="1:17" ht="15.75" x14ac:dyDescent="0.25">
      <c r="A367" s="15" t="s">
        <v>4</v>
      </c>
      <c r="B367" s="14"/>
      <c r="C367" s="14"/>
      <c r="D367" s="14"/>
      <c r="E367" s="14"/>
      <c r="F367" s="14"/>
      <c r="G367" s="14"/>
      <c r="H367" s="14"/>
      <c r="I367" s="14"/>
      <c r="J367" s="14"/>
      <c r="K367" s="14"/>
      <c r="L367" s="13"/>
      <c r="M367" s="91" t="e">
        <f>M366+M365</f>
        <v>#REF!</v>
      </c>
      <c r="N367" s="91">
        <f>N366+N365</f>
        <v>470172.15879105002</v>
      </c>
      <c r="O367" s="91">
        <f>O366+O365</f>
        <v>470172.15879105002</v>
      </c>
      <c r="P367" s="91">
        <f>P366+P365</f>
        <v>470171.91000000003</v>
      </c>
      <c r="Q367" s="3"/>
    </row>
    <row r="368" spans="1:17" ht="47.25" x14ac:dyDescent="0.25">
      <c r="A368" s="1049" t="s">
        <v>172</v>
      </c>
      <c r="B368" s="110" t="s">
        <v>173</v>
      </c>
      <c r="C368" s="948" t="s">
        <v>165</v>
      </c>
      <c r="D368" s="101"/>
      <c r="E368" s="101"/>
      <c r="F368" s="101"/>
      <c r="G368" s="101"/>
      <c r="H368" s="101"/>
      <c r="I368" s="101"/>
      <c r="J368" s="101"/>
      <c r="K368" s="101"/>
      <c r="L368" s="26" t="s">
        <v>32</v>
      </c>
      <c r="N368" s="26">
        <v>95138</v>
      </c>
      <c r="O368" s="249">
        <f>SUM(N368:N368)</f>
        <v>95138</v>
      </c>
      <c r="P368" s="26">
        <v>95138</v>
      </c>
      <c r="Q368" s="112"/>
    </row>
    <row r="369" spans="1:17" ht="15.75" x14ac:dyDescent="0.25">
      <c r="A369" s="1049"/>
      <c r="B369" s="110"/>
      <c r="C369" s="949"/>
      <c r="D369" s="178"/>
      <c r="E369" s="178"/>
      <c r="F369" s="178"/>
      <c r="G369" s="178"/>
      <c r="H369" s="178"/>
      <c r="I369" s="178"/>
      <c r="J369" s="178"/>
      <c r="K369" s="178"/>
      <c r="L369" s="22" t="s">
        <v>30</v>
      </c>
      <c r="N369" s="22">
        <v>8850</v>
      </c>
      <c r="O369" s="17">
        <f>SUM(N369:N369)</f>
        <v>8850</v>
      </c>
      <c r="P369" s="22">
        <v>8850</v>
      </c>
      <c r="Q369" s="112"/>
    </row>
    <row r="370" spans="1:17" ht="31.5" x14ac:dyDescent="0.25">
      <c r="A370" s="1049"/>
      <c r="B370" s="110"/>
      <c r="C370" s="949"/>
      <c r="D370" s="178"/>
      <c r="E370" s="178"/>
      <c r="F370" s="178"/>
      <c r="G370" s="178"/>
      <c r="H370" s="178"/>
      <c r="I370" s="178"/>
      <c r="J370" s="178"/>
      <c r="K370" s="178"/>
      <c r="L370" s="22" t="s">
        <v>28</v>
      </c>
      <c r="N370" s="189" t="s">
        <v>254</v>
      </c>
      <c r="O370" s="17">
        <f>SUM(N370:N370)</f>
        <v>0</v>
      </c>
      <c r="P370" s="189" t="s">
        <v>254</v>
      </c>
    </row>
    <row r="371" spans="1:17" ht="15.75" x14ac:dyDescent="0.25">
      <c r="A371" s="1049"/>
      <c r="B371" s="139"/>
      <c r="C371" s="949"/>
      <c r="D371" s="178"/>
      <c r="E371" s="178"/>
      <c r="F371" s="178"/>
      <c r="G371" s="178"/>
      <c r="H371" s="178"/>
      <c r="I371" s="178"/>
      <c r="J371" s="178"/>
      <c r="K371" s="178"/>
      <c r="L371" s="25" t="s">
        <v>27</v>
      </c>
      <c r="N371" s="25">
        <v>2212</v>
      </c>
      <c r="O371" s="17">
        <f>SUM(N371:N371)</f>
        <v>2212</v>
      </c>
      <c r="P371" s="25">
        <v>2212</v>
      </c>
    </row>
    <row r="372" spans="1:17" ht="45.75" customHeight="1" x14ac:dyDescent="0.25">
      <c r="A372" s="1049"/>
      <c r="B372" s="139"/>
      <c r="C372" s="949"/>
      <c r="D372" s="178"/>
      <c r="E372" s="178"/>
      <c r="F372" s="178"/>
      <c r="G372" s="178"/>
      <c r="H372" s="178"/>
      <c r="I372" s="178"/>
      <c r="J372" s="178"/>
      <c r="K372" s="178"/>
      <c r="L372" s="23" t="s">
        <v>25</v>
      </c>
      <c r="N372" s="23">
        <v>4425</v>
      </c>
      <c r="O372" s="17">
        <f>SUM(N372:N372)</f>
        <v>4425</v>
      </c>
      <c r="P372" s="23">
        <v>4425</v>
      </c>
    </row>
    <row r="373" spans="1:17" ht="15.75" x14ac:dyDescent="0.25">
      <c r="A373" s="20" t="s">
        <v>6</v>
      </c>
      <c r="B373" s="19"/>
      <c r="C373" s="949"/>
      <c r="D373" s="18"/>
      <c r="E373" s="18"/>
      <c r="F373" s="18"/>
      <c r="G373" s="18"/>
      <c r="H373" s="18"/>
      <c r="I373" s="18"/>
      <c r="J373" s="18"/>
      <c r="K373" s="18"/>
      <c r="L373" s="17"/>
      <c r="M373" s="17" t="e">
        <f>SUM('Secretariat work plan 2014 '!#REF!)</f>
        <v>#REF!</v>
      </c>
      <c r="N373" s="17">
        <f>SUM(N368:N372)</f>
        <v>110625</v>
      </c>
      <c r="O373" s="17">
        <f>SUM(O368:O372)</f>
        <v>110625</v>
      </c>
      <c r="P373" s="17">
        <f>SUM(P368:P372)</f>
        <v>110625</v>
      </c>
    </row>
    <row r="374" spans="1:17" ht="15.75" x14ac:dyDescent="0.25">
      <c r="A374" s="20" t="s">
        <v>5</v>
      </c>
      <c r="B374" s="19"/>
      <c r="C374" s="950"/>
      <c r="D374" s="18"/>
      <c r="E374" s="18"/>
      <c r="F374" s="18"/>
      <c r="G374" s="18"/>
      <c r="H374" s="18"/>
      <c r="I374" s="18"/>
      <c r="J374" s="18"/>
      <c r="K374" s="18"/>
      <c r="L374" s="17"/>
      <c r="M374" s="17" t="e">
        <f>0.07*M373</f>
        <v>#REF!</v>
      </c>
      <c r="N374" s="17">
        <f>0.07*N373</f>
        <v>7743.7500000000009</v>
      </c>
      <c r="O374" s="17">
        <f>0.07*O373</f>
        <v>7743.7500000000009</v>
      </c>
      <c r="P374" s="17">
        <f>0.07*P373</f>
        <v>7743.7500000000009</v>
      </c>
    </row>
    <row r="375" spans="1:17" ht="15.75" x14ac:dyDescent="0.25">
      <c r="A375" s="15" t="s">
        <v>4</v>
      </c>
      <c r="B375" s="14"/>
      <c r="C375" s="14"/>
      <c r="D375" s="14"/>
      <c r="E375" s="14"/>
      <c r="F375" s="14"/>
      <c r="G375" s="14"/>
      <c r="H375" s="14"/>
      <c r="I375" s="14"/>
      <c r="J375" s="14"/>
      <c r="K375" s="14"/>
      <c r="L375" s="13"/>
      <c r="M375" s="91" t="e">
        <f>M374+M373</f>
        <v>#REF!</v>
      </c>
      <c r="N375" s="91">
        <f>N374+N373</f>
        <v>118368.75</v>
      </c>
      <c r="O375" s="91">
        <f>O374+O373</f>
        <v>118368.75</v>
      </c>
      <c r="P375" s="91">
        <f>P374+P373</f>
        <v>118368.75</v>
      </c>
    </row>
    <row r="376" spans="1:17" ht="15.75" x14ac:dyDescent="0.25">
      <c r="A376" s="35" t="s">
        <v>0</v>
      </c>
      <c r="B376" s="34"/>
      <c r="C376" s="34"/>
      <c r="D376" s="34"/>
      <c r="E376" s="34"/>
      <c r="F376" s="34"/>
      <c r="G376" s="34"/>
      <c r="H376" s="34"/>
      <c r="I376" s="34"/>
      <c r="J376" s="34"/>
      <c r="K376" s="34"/>
      <c r="L376" s="33"/>
      <c r="M376" s="32" t="e">
        <f>M367+M375+M359+M351+M343+M335+M327+M319</f>
        <v>#REF!</v>
      </c>
      <c r="N376" s="32">
        <f>N367+N375+N359+N351+N343+N335+N327+N319</f>
        <v>1209809.6587910501</v>
      </c>
      <c r="O376" s="32">
        <f>O367+O375+O359+O351+O343+O335+O327+O319</f>
        <v>1209809.6587910501</v>
      </c>
      <c r="P376" s="32">
        <f>P367+P375+P359+P351+P343+P335+P327+P319</f>
        <v>1233616.9100000001</v>
      </c>
    </row>
    <row r="377" spans="1:17" ht="39" customHeight="1" x14ac:dyDescent="0.25">
      <c r="A377" s="1061" t="s">
        <v>36</v>
      </c>
      <c r="B377" s="1062"/>
      <c r="C377" s="970" t="s">
        <v>24</v>
      </c>
      <c r="D377" s="963" t="s">
        <v>23</v>
      </c>
      <c r="E377" s="963"/>
      <c r="F377" s="963"/>
      <c r="G377" s="963"/>
      <c r="H377" s="963" t="s">
        <v>22</v>
      </c>
      <c r="I377" s="963"/>
      <c r="J377" s="963"/>
      <c r="K377" s="963"/>
      <c r="L377" s="963" t="s">
        <v>220</v>
      </c>
      <c r="M377" s="963"/>
      <c r="N377" s="963"/>
      <c r="O377" s="963"/>
      <c r="P377" s="963"/>
    </row>
    <row r="378" spans="1:17" ht="31.5" x14ac:dyDescent="0.25">
      <c r="A378" s="30" t="s">
        <v>21</v>
      </c>
      <c r="B378" s="30" t="s">
        <v>20</v>
      </c>
      <c r="C378" s="970"/>
      <c r="D378" s="29" t="s">
        <v>19</v>
      </c>
      <c r="E378" s="29" t="s">
        <v>18</v>
      </c>
      <c r="F378" s="29" t="s">
        <v>17</v>
      </c>
      <c r="G378" s="29" t="s">
        <v>16</v>
      </c>
      <c r="H378" s="29" t="s">
        <v>19</v>
      </c>
      <c r="I378" s="29" t="s">
        <v>18</v>
      </c>
      <c r="J378" s="29" t="s">
        <v>17</v>
      </c>
      <c r="K378" s="29" t="s">
        <v>16</v>
      </c>
      <c r="L378" s="28" t="s">
        <v>15</v>
      </c>
      <c r="M378" s="27" t="s">
        <v>174</v>
      </c>
      <c r="N378" s="27" t="s">
        <v>255</v>
      </c>
      <c r="O378" s="227" t="s">
        <v>221</v>
      </c>
      <c r="P378" s="29" t="s">
        <v>256</v>
      </c>
    </row>
    <row r="379" spans="1:17" ht="47.25" x14ac:dyDescent="0.25">
      <c r="A379" s="1049" t="s">
        <v>35</v>
      </c>
      <c r="B379" s="21" t="s">
        <v>34</v>
      </c>
      <c r="C379" s="948" t="s">
        <v>33</v>
      </c>
      <c r="D379" s="24"/>
      <c r="E379" s="24"/>
      <c r="F379" s="24"/>
      <c r="G379" s="24"/>
      <c r="H379" s="24"/>
      <c r="I379" s="24"/>
      <c r="J379" s="24"/>
      <c r="K379" s="24"/>
      <c r="L379" s="26" t="s">
        <v>32</v>
      </c>
      <c r="N379" s="26">
        <f>'[3]Workings (2)'!$F$71</f>
        <v>557283.08128749998</v>
      </c>
      <c r="O379" s="17">
        <f>SUM(N379:N379)</f>
        <v>557283.08128749998</v>
      </c>
      <c r="P379" s="26">
        <v>557283</v>
      </c>
    </row>
    <row r="380" spans="1:17" ht="47.25" x14ac:dyDescent="0.25">
      <c r="A380" s="1049"/>
      <c r="B380" s="21" t="s">
        <v>31</v>
      </c>
      <c r="C380" s="949"/>
      <c r="D380" s="24"/>
      <c r="E380" s="24"/>
      <c r="F380" s="24"/>
      <c r="G380" s="24"/>
      <c r="H380" s="24"/>
      <c r="I380" s="24"/>
      <c r="J380" s="24"/>
      <c r="K380" s="24"/>
      <c r="L380" s="22" t="s">
        <v>30</v>
      </c>
      <c r="N380" s="22">
        <f>'[3]Workings (2)'!$F$72</f>
        <v>27500</v>
      </c>
      <c r="O380" s="17">
        <f>SUM(N380:N380)</f>
        <v>27500</v>
      </c>
      <c r="P380" s="22">
        <v>27500</v>
      </c>
    </row>
    <row r="381" spans="1:17" ht="31.5" x14ac:dyDescent="0.25">
      <c r="A381" s="1049"/>
      <c r="B381" s="1053" t="s">
        <v>29</v>
      </c>
      <c r="C381" s="949"/>
      <c r="D381" s="24"/>
      <c r="E381" s="24"/>
      <c r="F381" s="24"/>
      <c r="G381" s="24"/>
      <c r="H381" s="24"/>
      <c r="I381" s="24"/>
      <c r="J381" s="24"/>
      <c r="K381" s="24"/>
      <c r="L381" s="22" t="s">
        <v>28</v>
      </c>
      <c r="N381" s="22">
        <f>'[3]Workings (2)'!$F$74</f>
        <v>29000</v>
      </c>
      <c r="O381" s="17">
        <f>SUM(N381:N381)</f>
        <v>29000</v>
      </c>
      <c r="P381" s="22">
        <v>29000</v>
      </c>
    </row>
    <row r="382" spans="1:17" ht="15.75" x14ac:dyDescent="0.25">
      <c r="A382" s="1049"/>
      <c r="B382" s="1054"/>
      <c r="C382" s="949"/>
      <c r="D382" s="24"/>
      <c r="E382" s="24"/>
      <c r="F382" s="24"/>
      <c r="G382" s="24"/>
      <c r="H382" s="24"/>
      <c r="I382" s="24"/>
      <c r="J382" s="24"/>
      <c r="K382" s="24"/>
      <c r="L382" s="25" t="s">
        <v>27</v>
      </c>
      <c r="N382" s="25">
        <f>'[3]Workings (2)'!$F$73</f>
        <v>45000</v>
      </c>
      <c r="O382" s="17">
        <f>SUM(N382:N382)</f>
        <v>45000</v>
      </c>
      <c r="P382" s="25">
        <v>45000</v>
      </c>
    </row>
    <row r="383" spans="1:17" ht="31.5" x14ac:dyDescent="0.25">
      <c r="A383" s="1049"/>
      <c r="B383" s="21" t="s">
        <v>26</v>
      </c>
      <c r="C383" s="949"/>
      <c r="D383" s="24"/>
      <c r="E383" s="24"/>
      <c r="F383" s="24"/>
      <c r="G383" s="24"/>
      <c r="H383" s="24"/>
      <c r="I383" s="24"/>
      <c r="J383" s="24"/>
      <c r="K383" s="24"/>
      <c r="L383" s="23" t="s">
        <v>25</v>
      </c>
      <c r="N383" s="23">
        <f>'[3]Workings (2)'!$F$75</f>
        <v>18750</v>
      </c>
      <c r="O383" s="17">
        <f>SUM(N383:N383)</f>
        <v>18750</v>
      </c>
      <c r="P383" s="23">
        <v>18750</v>
      </c>
    </row>
    <row r="384" spans="1:17" ht="15.75" x14ac:dyDescent="0.25">
      <c r="A384" s="20" t="s">
        <v>6</v>
      </c>
      <c r="B384" s="21"/>
      <c r="C384" s="949"/>
      <c r="D384" s="18"/>
      <c r="E384" s="18"/>
      <c r="F384" s="18"/>
      <c r="G384" s="18"/>
      <c r="H384" s="18"/>
      <c r="I384" s="18"/>
      <c r="J384" s="18"/>
      <c r="K384" s="18"/>
      <c r="L384" s="17"/>
      <c r="M384" s="17" t="e">
        <f>SUM('Secretariat work plan 2014 '!#REF!)</f>
        <v>#REF!</v>
      </c>
      <c r="N384" s="17">
        <f>SUM(N379:N383)</f>
        <v>677533.08128749998</v>
      </c>
      <c r="O384" s="17">
        <f>SUM(O379:O383)</f>
        <v>677533.08128749998</v>
      </c>
      <c r="P384" s="17">
        <f>SUM(P379:P383)</f>
        <v>677533</v>
      </c>
    </row>
    <row r="385" spans="1:16" ht="15.75" x14ac:dyDescent="0.25">
      <c r="A385" s="20" t="s">
        <v>5</v>
      </c>
      <c r="B385" s="19"/>
      <c r="C385" s="950"/>
      <c r="D385" s="18"/>
      <c r="E385" s="18"/>
      <c r="F385" s="18"/>
      <c r="G385" s="18"/>
      <c r="H385" s="18"/>
      <c r="I385" s="18"/>
      <c r="J385" s="18"/>
      <c r="K385" s="18"/>
      <c r="L385" s="17"/>
      <c r="M385" s="17" t="e">
        <f>0.07*M384</f>
        <v>#REF!</v>
      </c>
      <c r="N385" s="17">
        <f>0.07*N384</f>
        <v>47427.315690125004</v>
      </c>
      <c r="O385" s="17">
        <f>0.07*O384</f>
        <v>47427.315690125004</v>
      </c>
      <c r="P385" s="17">
        <f>0.07*P384</f>
        <v>47427.310000000005</v>
      </c>
    </row>
    <row r="386" spans="1:16" ht="15.75" x14ac:dyDescent="0.25">
      <c r="A386" s="15" t="s">
        <v>4</v>
      </c>
      <c r="B386" s="14"/>
      <c r="C386" s="14"/>
      <c r="D386" s="14"/>
      <c r="E386" s="14"/>
      <c r="F386" s="14"/>
      <c r="G386" s="14"/>
      <c r="H386" s="14"/>
      <c r="I386" s="14"/>
      <c r="J386" s="14"/>
      <c r="K386" s="14"/>
      <c r="L386" s="13"/>
      <c r="M386" s="91" t="e">
        <f>M385+M384</f>
        <v>#REF!</v>
      </c>
      <c r="N386" s="91">
        <f>N385+N384</f>
        <v>724960.39697762497</v>
      </c>
      <c r="O386" s="91">
        <f>O385+O384</f>
        <v>724960.39697762497</v>
      </c>
      <c r="P386" s="91">
        <f>P385+P384</f>
        <v>724960.31</v>
      </c>
    </row>
    <row r="387" spans="1:16" ht="47.25" x14ac:dyDescent="0.25">
      <c r="A387" s="1049" t="s">
        <v>175</v>
      </c>
      <c r="B387" s="192" t="s">
        <v>176</v>
      </c>
      <c r="C387" s="948" t="s">
        <v>33</v>
      </c>
      <c r="D387" s="24"/>
      <c r="E387" s="193"/>
      <c r="F387" s="24"/>
      <c r="G387" s="193"/>
      <c r="H387" s="24"/>
      <c r="I387" s="193"/>
      <c r="J387" s="24"/>
      <c r="K387" s="193"/>
      <c r="L387" s="26" t="s">
        <v>32</v>
      </c>
      <c r="N387" s="26">
        <f>'[3]Workings (2)'!$H$71</f>
        <v>452152.4952755</v>
      </c>
      <c r="O387" s="17">
        <f>SUM(N387:N387)</f>
        <v>452152.4952755</v>
      </c>
      <c r="P387" s="26">
        <v>452152</v>
      </c>
    </row>
    <row r="388" spans="1:16" ht="31.5" x14ac:dyDescent="0.25">
      <c r="A388" s="1049"/>
      <c r="B388" s="194" t="s">
        <v>177</v>
      </c>
      <c r="C388" s="949"/>
      <c r="D388" s="24"/>
      <c r="E388" s="24"/>
      <c r="F388" s="24"/>
      <c r="G388" s="24"/>
      <c r="H388" s="24"/>
      <c r="I388" s="24"/>
      <c r="J388" s="24"/>
      <c r="K388" s="24"/>
      <c r="L388" s="22" t="s">
        <v>30</v>
      </c>
      <c r="N388" s="22">
        <f>'[3]Workings (2)'!$H$72</f>
        <v>25100</v>
      </c>
      <c r="O388" s="17">
        <f>SUM(N388:N388)</f>
        <v>25100</v>
      </c>
      <c r="P388" s="22">
        <v>25100</v>
      </c>
    </row>
    <row r="389" spans="1:16" ht="47.25" x14ac:dyDescent="0.25">
      <c r="A389" s="1049"/>
      <c r="B389" s="21" t="s">
        <v>178</v>
      </c>
      <c r="C389" s="949"/>
      <c r="D389" s="24"/>
      <c r="E389" s="24"/>
      <c r="F389" s="24"/>
      <c r="G389" s="24"/>
      <c r="H389" s="24"/>
      <c r="I389" s="24"/>
      <c r="J389" s="24"/>
      <c r="K389" s="24"/>
      <c r="L389" s="22" t="s">
        <v>28</v>
      </c>
      <c r="N389" s="22">
        <f>'[3]Workings (2)'!$H$74</f>
        <v>29000</v>
      </c>
      <c r="O389" s="17">
        <f>SUM(N389:N389)</f>
        <v>29000</v>
      </c>
      <c r="P389" s="22">
        <v>29000</v>
      </c>
    </row>
    <row r="390" spans="1:16" ht="47.25" x14ac:dyDescent="0.25">
      <c r="A390" s="1049"/>
      <c r="B390" s="21" t="s">
        <v>179</v>
      </c>
      <c r="C390" s="949"/>
      <c r="D390" s="24"/>
      <c r="E390" s="24"/>
      <c r="F390" s="24"/>
      <c r="G390" s="24"/>
      <c r="H390" s="24"/>
      <c r="I390" s="24"/>
      <c r="J390" s="24"/>
      <c r="K390" s="24"/>
      <c r="L390" s="25" t="s">
        <v>27</v>
      </c>
      <c r="N390" s="25">
        <f>'[3]Workings (2)'!$H$73</f>
        <v>37000</v>
      </c>
      <c r="O390" s="17">
        <f>SUM(N390:N390)</f>
        <v>37000</v>
      </c>
      <c r="P390" s="25">
        <v>37000</v>
      </c>
    </row>
    <row r="391" spans="1:16" ht="31.5" x14ac:dyDescent="0.25">
      <c r="A391" s="1049"/>
      <c r="B391" s="21" t="s">
        <v>180</v>
      </c>
      <c r="C391" s="949"/>
      <c r="D391" s="24"/>
      <c r="E391" s="24"/>
      <c r="F391" s="24"/>
      <c r="G391" s="24"/>
      <c r="H391" s="193"/>
      <c r="I391" s="193"/>
      <c r="J391" s="193"/>
      <c r="K391" s="193"/>
      <c r="L391" s="23" t="s">
        <v>25</v>
      </c>
      <c r="N391" s="23">
        <f>'[3]Workings (2)'!$H$75</f>
        <v>12750.000000000002</v>
      </c>
      <c r="O391" s="17">
        <f>SUM(N391:N391)</f>
        <v>12750.000000000002</v>
      </c>
      <c r="P391" s="23">
        <v>12750</v>
      </c>
    </row>
    <row r="392" spans="1:16" ht="15.75" x14ac:dyDescent="0.25">
      <c r="A392" s="20" t="s">
        <v>6</v>
      </c>
      <c r="B392" s="19"/>
      <c r="C392" s="949"/>
      <c r="D392" s="18"/>
      <c r="E392" s="18"/>
      <c r="F392" s="18"/>
      <c r="G392" s="18"/>
      <c r="H392" s="18"/>
      <c r="I392" s="18"/>
      <c r="J392" s="18"/>
      <c r="K392" s="18"/>
      <c r="L392" s="17"/>
      <c r="M392" s="17" t="e">
        <f>SUM('Secretariat work plan 2014 '!#REF!)</f>
        <v>#REF!</v>
      </c>
      <c r="N392" s="17">
        <f>SUM(N387:N391)</f>
        <v>556002.4952755</v>
      </c>
      <c r="O392" s="17">
        <f>SUM(O387:O391)</f>
        <v>556002.4952755</v>
      </c>
      <c r="P392" s="17">
        <f>SUM(P387:P391)</f>
        <v>556002</v>
      </c>
    </row>
    <row r="393" spans="1:16" ht="15.75" x14ac:dyDescent="0.25">
      <c r="A393" s="20" t="s">
        <v>5</v>
      </c>
      <c r="B393" s="19"/>
      <c r="C393" s="950"/>
      <c r="D393" s="18"/>
      <c r="E393" s="18"/>
      <c r="F393" s="18"/>
      <c r="G393" s="18"/>
      <c r="H393" s="18"/>
      <c r="I393" s="18"/>
      <c r="J393" s="18"/>
      <c r="K393" s="18"/>
      <c r="L393" s="17"/>
      <c r="M393" s="17" t="e">
        <f>0.07*M392</f>
        <v>#REF!</v>
      </c>
      <c r="N393" s="17">
        <f>0.07*N392</f>
        <v>38920.174669285007</v>
      </c>
      <c r="O393" s="17">
        <f>0.07*O392</f>
        <v>38920.174669285007</v>
      </c>
      <c r="P393" s="17">
        <f>0.07*P392</f>
        <v>38920.140000000007</v>
      </c>
    </row>
    <row r="394" spans="1:16" ht="15.75" x14ac:dyDescent="0.25">
      <c r="A394" s="15" t="s">
        <v>4</v>
      </c>
      <c r="B394" s="14"/>
      <c r="C394" s="14"/>
      <c r="D394" s="14"/>
      <c r="E394" s="14"/>
      <c r="F394" s="14"/>
      <c r="G394" s="14"/>
      <c r="H394" s="14"/>
      <c r="I394" s="14"/>
      <c r="J394" s="14"/>
      <c r="K394" s="14"/>
      <c r="L394" s="13"/>
      <c r="M394" s="91" t="e">
        <f>M393+M392</f>
        <v>#REF!</v>
      </c>
      <c r="N394" s="91">
        <f>N393+N392</f>
        <v>594922.66994478495</v>
      </c>
      <c r="O394" s="91">
        <f>O393+O392</f>
        <v>594922.66994478495</v>
      </c>
      <c r="P394" s="91">
        <f>P393+P392</f>
        <v>594922.14</v>
      </c>
    </row>
    <row r="395" spans="1:16" ht="47.25" x14ac:dyDescent="0.25">
      <c r="A395" s="1049" t="s">
        <v>181</v>
      </c>
      <c r="B395" s="195" t="s">
        <v>182</v>
      </c>
      <c r="C395" s="948" t="s">
        <v>33</v>
      </c>
      <c r="D395" s="24"/>
      <c r="E395" s="24"/>
      <c r="F395" s="24"/>
      <c r="G395" s="24"/>
      <c r="H395" s="24"/>
      <c r="I395" s="24"/>
      <c r="J395" s="24"/>
      <c r="K395" s="24"/>
      <c r="L395" s="26" t="s">
        <v>32</v>
      </c>
      <c r="N395" s="26">
        <f>'[3]Workings (2)'!$G$71</f>
        <v>347152.4952755</v>
      </c>
      <c r="O395" s="17">
        <f>SUM(N395:N395)</f>
        <v>347152.4952755</v>
      </c>
      <c r="P395" s="26">
        <v>347152</v>
      </c>
    </row>
    <row r="396" spans="1:16" ht="15.75" x14ac:dyDescent="0.25">
      <c r="A396" s="1049"/>
      <c r="B396" s="192" t="s">
        <v>183</v>
      </c>
      <c r="C396" s="949"/>
      <c r="D396" s="24"/>
      <c r="E396" s="24"/>
      <c r="F396" s="24"/>
      <c r="G396" s="24"/>
      <c r="H396" s="24"/>
      <c r="I396" s="24"/>
      <c r="J396" s="24"/>
      <c r="K396" s="24"/>
      <c r="L396" s="22" t="s">
        <v>30</v>
      </c>
      <c r="N396" s="22">
        <f>'[3]Workings (2)'!$G$72</f>
        <v>25100</v>
      </c>
      <c r="O396" s="17">
        <f>SUM(N396:N396)</f>
        <v>25100</v>
      </c>
      <c r="P396" s="22">
        <v>25100</v>
      </c>
    </row>
    <row r="397" spans="1:16" ht="31.5" x14ac:dyDescent="0.25">
      <c r="A397" s="1049"/>
      <c r="B397" s="192" t="s">
        <v>184</v>
      </c>
      <c r="C397" s="949"/>
      <c r="D397" s="24"/>
      <c r="E397" s="193"/>
      <c r="F397" s="24"/>
      <c r="G397" s="193"/>
      <c r="H397" s="24"/>
      <c r="I397" s="193"/>
      <c r="J397" s="24"/>
      <c r="K397" s="193"/>
      <c r="L397" s="22" t="s">
        <v>28</v>
      </c>
      <c r="N397" s="22">
        <f>'[3]Workings (2)'!$G$74</f>
        <v>29000</v>
      </c>
      <c r="O397" s="17">
        <f>SUM(N397:N397)</f>
        <v>29000</v>
      </c>
      <c r="P397" s="22">
        <v>29000</v>
      </c>
    </row>
    <row r="398" spans="1:16" ht="31.5" x14ac:dyDescent="0.25">
      <c r="A398" s="1049"/>
      <c r="B398" s="194" t="s">
        <v>185</v>
      </c>
      <c r="C398" s="949"/>
      <c r="D398" s="24"/>
      <c r="E398" s="24"/>
      <c r="F398" s="24"/>
      <c r="G398" s="24"/>
      <c r="H398" s="24"/>
      <c r="I398" s="24"/>
      <c r="J398" s="24"/>
      <c r="K398" s="24"/>
      <c r="L398" s="25" t="s">
        <v>27</v>
      </c>
      <c r="N398" s="25">
        <f>'[3]Workings (2)'!$G$73</f>
        <v>37000</v>
      </c>
      <c r="O398" s="17">
        <f>SUM(N398:N398)</f>
        <v>37000</v>
      </c>
      <c r="P398" s="25">
        <v>37000</v>
      </c>
    </row>
    <row r="399" spans="1:16" ht="31.5" x14ac:dyDescent="0.25">
      <c r="A399" s="1049"/>
      <c r="B399" s="19" t="s">
        <v>186</v>
      </c>
      <c r="C399" s="949"/>
      <c r="D399" s="24"/>
      <c r="E399" s="24"/>
      <c r="F399" s="24"/>
      <c r="G399" s="24"/>
      <c r="H399" s="193"/>
      <c r="I399" s="193"/>
      <c r="J399" s="193"/>
      <c r="K399" s="193"/>
      <c r="L399" s="23" t="s">
        <v>25</v>
      </c>
      <c r="N399" s="23">
        <f>'[3]Workings (2)'!$G$75</f>
        <v>12750.000000000002</v>
      </c>
      <c r="O399" s="17">
        <f>SUM(N399:N399)</f>
        <v>12750.000000000002</v>
      </c>
      <c r="P399" s="23">
        <v>12750</v>
      </c>
    </row>
    <row r="400" spans="1:16" ht="15.75" x14ac:dyDescent="0.25">
      <c r="A400" s="20" t="s">
        <v>6</v>
      </c>
      <c r="B400" s="19"/>
      <c r="C400" s="949"/>
      <c r="D400" s="18"/>
      <c r="E400" s="18"/>
      <c r="F400" s="18"/>
      <c r="G400" s="18"/>
      <c r="H400" s="18"/>
      <c r="I400" s="18"/>
      <c r="J400" s="18"/>
      <c r="K400" s="18"/>
      <c r="L400" s="17"/>
      <c r="M400" s="17" t="e">
        <f>SUM('Secretariat work plan 2014 '!#REF!)</f>
        <v>#REF!</v>
      </c>
      <c r="N400" s="17">
        <f>SUM(N395:N399)</f>
        <v>451002.4952755</v>
      </c>
      <c r="O400" s="17">
        <f>SUM(O395:O399)</f>
        <v>451002.4952755</v>
      </c>
      <c r="P400" s="17">
        <f>SUM(P395:P399)</f>
        <v>451002</v>
      </c>
    </row>
    <row r="401" spans="1:16" ht="15.75" x14ac:dyDescent="0.25">
      <c r="A401" s="20" t="s">
        <v>5</v>
      </c>
      <c r="B401" s="19"/>
      <c r="C401" s="950"/>
      <c r="D401" s="18"/>
      <c r="E401" s="18"/>
      <c r="F401" s="18"/>
      <c r="G401" s="18"/>
      <c r="H401" s="18"/>
      <c r="I401" s="18"/>
      <c r="J401" s="18"/>
      <c r="K401" s="18"/>
      <c r="L401" s="17"/>
      <c r="M401" s="17" t="e">
        <f>0.07*M400</f>
        <v>#REF!</v>
      </c>
      <c r="N401" s="17">
        <f>0.07*N400</f>
        <v>31570.174669285003</v>
      </c>
      <c r="O401" s="17">
        <f>0.07*O400</f>
        <v>31570.174669285003</v>
      </c>
      <c r="P401" s="17">
        <f>0.07*P400</f>
        <v>31570.140000000003</v>
      </c>
    </row>
    <row r="402" spans="1:16" ht="15.75" x14ac:dyDescent="0.25">
      <c r="A402" s="15" t="s">
        <v>4</v>
      </c>
      <c r="B402" s="14"/>
      <c r="C402" s="14"/>
      <c r="D402" s="14"/>
      <c r="E402" s="14"/>
      <c r="F402" s="14"/>
      <c r="G402" s="14"/>
      <c r="H402" s="14"/>
      <c r="I402" s="14"/>
      <c r="J402" s="14"/>
      <c r="K402" s="14"/>
      <c r="L402" s="13"/>
      <c r="M402" s="91" t="e">
        <f>M401+M400</f>
        <v>#REF!</v>
      </c>
      <c r="N402" s="91">
        <f>N401+N400</f>
        <v>482572.66994478501</v>
      </c>
      <c r="O402" s="91">
        <f>O401+O400</f>
        <v>482572.66994478501</v>
      </c>
      <c r="P402" s="91">
        <f>P401+P400</f>
        <v>482572.14</v>
      </c>
    </row>
    <row r="403" spans="1:16" ht="47.25" x14ac:dyDescent="0.25">
      <c r="A403" s="1049" t="s">
        <v>187</v>
      </c>
      <c r="B403" s="1050" t="s">
        <v>188</v>
      </c>
      <c r="C403" s="948" t="s">
        <v>33</v>
      </c>
      <c r="D403" s="24"/>
      <c r="E403" s="18"/>
      <c r="F403" s="24"/>
      <c r="G403" s="18"/>
      <c r="H403" s="24"/>
      <c r="I403" s="18"/>
      <c r="J403" s="24"/>
      <c r="K403" s="18"/>
      <c r="L403" s="26" t="s">
        <v>32</v>
      </c>
      <c r="N403" s="26">
        <f>'[3]Workings (2)'!$E$71</f>
        <v>439717.78828149999</v>
      </c>
      <c r="O403" s="17">
        <f>SUM(N403:N403)</f>
        <v>439717.78828149999</v>
      </c>
      <c r="P403" s="26">
        <v>439718</v>
      </c>
    </row>
    <row r="404" spans="1:16" ht="15.75" x14ac:dyDescent="0.25">
      <c r="A404" s="1049"/>
      <c r="B404" s="1051"/>
      <c r="C404" s="949"/>
      <c r="D404" s="24"/>
      <c r="E404" s="18"/>
      <c r="F404" s="24"/>
      <c r="G404" s="18"/>
      <c r="H404" s="24"/>
      <c r="I404" s="18"/>
      <c r="J404" s="24"/>
      <c r="K404" s="18"/>
      <c r="L404" s="22" t="s">
        <v>30</v>
      </c>
      <c r="N404" s="22">
        <f>'[3]Workings (2)'!$E$72</f>
        <v>26300</v>
      </c>
      <c r="O404" s="17">
        <f>SUM(N404:N404)</f>
        <v>26300</v>
      </c>
      <c r="P404" s="22">
        <v>26300</v>
      </c>
    </row>
    <row r="405" spans="1:16" ht="31.5" x14ac:dyDescent="0.25">
      <c r="A405" s="1049"/>
      <c r="B405" s="196" t="s">
        <v>189</v>
      </c>
      <c r="C405" s="949"/>
      <c r="D405" s="24"/>
      <c r="E405" s="18"/>
      <c r="F405" s="24"/>
      <c r="G405" s="18"/>
      <c r="H405" s="24"/>
      <c r="I405" s="18"/>
      <c r="J405" s="24"/>
      <c r="K405" s="18"/>
      <c r="L405" s="22" t="s">
        <v>28</v>
      </c>
      <c r="N405" s="22">
        <f>'[3]Workings (2)'!$E$74</f>
        <v>385000</v>
      </c>
      <c r="O405" s="17">
        <f>SUM(N405:N405)</f>
        <v>385000</v>
      </c>
      <c r="P405" s="22">
        <v>385000</v>
      </c>
    </row>
    <row r="406" spans="1:16" ht="31.5" x14ac:dyDescent="0.25">
      <c r="A406" s="1049"/>
      <c r="B406" s="196" t="s">
        <v>190</v>
      </c>
      <c r="C406" s="949"/>
      <c r="D406" s="24"/>
      <c r="E406" s="18"/>
      <c r="F406" s="24"/>
      <c r="G406" s="18"/>
      <c r="H406" s="24"/>
      <c r="I406" s="18"/>
      <c r="J406" s="24"/>
      <c r="K406" s="18"/>
      <c r="L406" s="25" t="s">
        <v>27</v>
      </c>
      <c r="N406" s="25">
        <f>'[3]Workings (2)'!$E$73</f>
        <v>21000</v>
      </c>
      <c r="O406" s="17">
        <f>SUM(N406:N406)</f>
        <v>21000</v>
      </c>
      <c r="P406" s="25">
        <v>21000</v>
      </c>
    </row>
    <row r="407" spans="1:16" ht="31.5" x14ac:dyDescent="0.25">
      <c r="A407" s="1049"/>
      <c r="B407" s="1050" t="s">
        <v>191</v>
      </c>
      <c r="C407" s="949"/>
      <c r="D407" s="24"/>
      <c r="E407" s="18"/>
      <c r="F407" s="24"/>
      <c r="G407" s="18"/>
      <c r="H407" s="24"/>
      <c r="I407" s="18"/>
      <c r="J407" s="24"/>
      <c r="K407" s="18"/>
      <c r="L407" s="23" t="s">
        <v>25</v>
      </c>
      <c r="N407" s="23">
        <f>'[3]Workings (2)'!$E$75</f>
        <v>15750</v>
      </c>
      <c r="O407" s="17">
        <f>SUM(N407:N407)</f>
        <v>15750</v>
      </c>
      <c r="P407" s="23">
        <v>15750</v>
      </c>
    </row>
    <row r="408" spans="1:16" ht="15.75" x14ac:dyDescent="0.25">
      <c r="A408" s="20" t="s">
        <v>6</v>
      </c>
      <c r="B408" s="1052"/>
      <c r="C408" s="949"/>
      <c r="D408" s="24"/>
      <c r="E408" s="18"/>
      <c r="F408" s="24"/>
      <c r="G408" s="18"/>
      <c r="H408" s="24"/>
      <c r="I408" s="18"/>
      <c r="J408" s="24"/>
      <c r="K408" s="18"/>
      <c r="L408" s="17"/>
      <c r="M408" s="17" t="e">
        <f>SUM('Secretariat work plan 2014 '!#REF!)</f>
        <v>#REF!</v>
      </c>
      <c r="N408" s="17">
        <f>SUM(N403:N407)</f>
        <v>887767.78828149999</v>
      </c>
      <c r="O408" s="17">
        <f>SUM(O403:O407)</f>
        <v>887767.78828149999</v>
      </c>
      <c r="P408" s="17">
        <f>SUM(P403:P407)</f>
        <v>887768</v>
      </c>
    </row>
    <row r="409" spans="1:16" ht="15.75" x14ac:dyDescent="0.25">
      <c r="A409" s="20" t="s">
        <v>5</v>
      </c>
      <c r="B409" s="1051"/>
      <c r="C409" s="950"/>
      <c r="D409" s="18"/>
      <c r="E409" s="18"/>
      <c r="F409" s="18"/>
      <c r="G409" s="18"/>
      <c r="H409" s="18"/>
      <c r="I409" s="18"/>
      <c r="J409" s="18"/>
      <c r="K409" s="18"/>
      <c r="L409" s="17"/>
      <c r="M409" s="17" t="e">
        <f>0.07*M408</f>
        <v>#REF!</v>
      </c>
      <c r="N409" s="17">
        <f>0.07*N408</f>
        <v>62143.745179705002</v>
      </c>
      <c r="O409" s="17">
        <f>0.07*O408</f>
        <v>62143.745179705002</v>
      </c>
      <c r="P409" s="17">
        <f>0.07*P408</f>
        <v>62143.760000000009</v>
      </c>
    </row>
    <row r="410" spans="1:16" ht="15.75" x14ac:dyDescent="0.25">
      <c r="A410" s="15" t="s">
        <v>4</v>
      </c>
      <c r="B410" s="14"/>
      <c r="C410" s="14"/>
      <c r="D410" s="14"/>
      <c r="E410" s="14"/>
      <c r="F410" s="14"/>
      <c r="G410" s="14"/>
      <c r="H410" s="14"/>
      <c r="I410" s="14"/>
      <c r="J410" s="14"/>
      <c r="K410" s="14"/>
      <c r="L410" s="13"/>
      <c r="M410" s="91" t="e">
        <f>M409+M408</f>
        <v>#REF!</v>
      </c>
      <c r="N410" s="91">
        <f>N409+N408</f>
        <v>949911.53346120496</v>
      </c>
      <c r="O410" s="91">
        <f>O409+O408</f>
        <v>949911.53346120496</v>
      </c>
      <c r="P410" s="91">
        <f>P409+P408</f>
        <v>949911.76</v>
      </c>
    </row>
    <row r="411" spans="1:16" ht="47.25" x14ac:dyDescent="0.25">
      <c r="A411" s="1049" t="s">
        <v>192</v>
      </c>
      <c r="B411" s="21" t="s">
        <v>193</v>
      </c>
      <c r="C411" s="948" t="s">
        <v>33</v>
      </c>
      <c r="D411" s="24"/>
      <c r="E411" s="24"/>
      <c r="F411" s="178"/>
      <c r="G411" s="178"/>
      <c r="H411" s="24"/>
      <c r="I411" s="24"/>
      <c r="J411" s="178"/>
      <c r="K411" s="178"/>
      <c r="L411" s="26" t="s">
        <v>32</v>
      </c>
      <c r="N411" s="26">
        <f>'[3]Workings (2)'!$I$71</f>
        <v>228913.23251500004</v>
      </c>
      <c r="O411" s="17">
        <f>SUM(N411:N411)</f>
        <v>228913.23251500004</v>
      </c>
      <c r="P411" s="26">
        <v>228913</v>
      </c>
    </row>
    <row r="412" spans="1:16" ht="47.25" x14ac:dyDescent="0.25">
      <c r="A412" s="1049"/>
      <c r="B412" s="195" t="s">
        <v>194</v>
      </c>
      <c r="C412" s="949"/>
      <c r="D412" s="178"/>
      <c r="E412" s="178"/>
      <c r="F412" s="24"/>
      <c r="G412" s="24"/>
      <c r="H412" s="178"/>
      <c r="I412" s="178"/>
      <c r="J412" s="24"/>
      <c r="K412" s="24"/>
      <c r="L412" s="22" t="s">
        <v>30</v>
      </c>
      <c r="N412" s="22">
        <f>'[3]Workings (2)'!$I$72</f>
        <v>23000</v>
      </c>
      <c r="O412" s="17">
        <f>SUM(N412:N412)</f>
        <v>23000</v>
      </c>
      <c r="P412" s="22">
        <v>23000</v>
      </c>
    </row>
    <row r="413" spans="1:16" ht="47.25" x14ac:dyDescent="0.25">
      <c r="A413" s="1049"/>
      <c r="B413" s="195" t="s">
        <v>195</v>
      </c>
      <c r="C413" s="949"/>
      <c r="D413" s="24"/>
      <c r="E413" s="24"/>
      <c r="F413" s="24"/>
      <c r="G413" s="24"/>
      <c r="H413" s="24"/>
      <c r="I413" s="24"/>
      <c r="J413" s="24"/>
      <c r="K413" s="24"/>
      <c r="L413" s="22" t="s">
        <v>28</v>
      </c>
      <c r="N413" s="22">
        <f>'[3]Workings (2)'!$I$74</f>
        <v>29000</v>
      </c>
      <c r="O413" s="17">
        <f>SUM(N413:N413)</f>
        <v>29000</v>
      </c>
      <c r="P413" s="22">
        <v>29000</v>
      </c>
    </row>
    <row r="414" spans="1:16" ht="31.5" x14ac:dyDescent="0.25">
      <c r="A414" s="1049"/>
      <c r="B414" s="196" t="s">
        <v>196</v>
      </c>
      <c r="C414" s="949"/>
      <c r="D414" s="24"/>
      <c r="E414" s="24"/>
      <c r="F414" s="24"/>
      <c r="G414" s="24"/>
      <c r="H414" s="24"/>
      <c r="I414" s="24"/>
      <c r="J414" s="24"/>
      <c r="K414" s="24"/>
      <c r="L414" s="25" t="s">
        <v>27</v>
      </c>
      <c r="N414" s="25">
        <f>'[3]Workings (2)'!$I$73</f>
        <v>30000</v>
      </c>
      <c r="O414" s="17">
        <f>SUM(N414:N414)</f>
        <v>30000</v>
      </c>
      <c r="P414" s="25">
        <v>30000</v>
      </c>
    </row>
    <row r="415" spans="1:16" ht="31.5" x14ac:dyDescent="0.25">
      <c r="A415" s="1049"/>
      <c r="B415" s="152"/>
      <c r="C415" s="949"/>
      <c r="D415" s="178"/>
      <c r="E415" s="178"/>
      <c r="F415" s="178"/>
      <c r="G415" s="178"/>
      <c r="H415" s="178"/>
      <c r="I415" s="178"/>
      <c r="J415" s="178"/>
      <c r="K415" s="178"/>
      <c r="L415" s="23" t="s">
        <v>25</v>
      </c>
      <c r="N415" s="23">
        <f>'[3]Workings (2)'!$I$75</f>
        <v>7500</v>
      </c>
      <c r="O415" s="17">
        <f>SUM(N415:N415)</f>
        <v>7500</v>
      </c>
      <c r="P415" s="23">
        <v>7500</v>
      </c>
    </row>
    <row r="416" spans="1:16" ht="15.75" x14ac:dyDescent="0.25">
      <c r="A416" s="20" t="s">
        <v>6</v>
      </c>
      <c r="C416" s="949"/>
      <c r="D416" s="178"/>
      <c r="E416" s="178"/>
      <c r="F416" s="178"/>
      <c r="G416" s="178"/>
      <c r="H416" s="178"/>
      <c r="I416" s="178"/>
      <c r="J416" s="178"/>
      <c r="K416" s="178"/>
      <c r="L416" s="17"/>
      <c r="M416" s="17" t="e">
        <f>SUM('Secretariat work plan 2014 '!#REF!)</f>
        <v>#REF!</v>
      </c>
      <c r="N416" s="17">
        <f>SUM(N411:N415)</f>
        <v>318413.23251500004</v>
      </c>
      <c r="O416" s="17">
        <f>SUM(O411:O415)</f>
        <v>318413.23251500004</v>
      </c>
      <c r="P416" s="17">
        <f>SUM(P411:P415)</f>
        <v>318413</v>
      </c>
    </row>
    <row r="417" spans="1:16" ht="15.75" x14ac:dyDescent="0.25">
      <c r="A417" s="20" t="s">
        <v>5</v>
      </c>
      <c r="B417" s="19"/>
      <c r="C417" s="950"/>
      <c r="D417" s="18"/>
      <c r="E417" s="18"/>
      <c r="F417" s="18"/>
      <c r="G417" s="18"/>
      <c r="H417" s="18"/>
      <c r="I417" s="18"/>
      <c r="J417" s="18"/>
      <c r="K417" s="18"/>
      <c r="L417" s="17"/>
      <c r="M417" s="17" t="e">
        <f>0.07*M416</f>
        <v>#REF!</v>
      </c>
      <c r="N417" s="17">
        <f>0.07*N416</f>
        <v>22288.926276050006</v>
      </c>
      <c r="O417" s="17">
        <f>0.07*O416</f>
        <v>22288.926276050006</v>
      </c>
      <c r="P417" s="17">
        <f>0.07*P416</f>
        <v>22288.910000000003</v>
      </c>
    </row>
    <row r="418" spans="1:16" ht="15.75" x14ac:dyDescent="0.25">
      <c r="A418" s="15" t="s">
        <v>4</v>
      </c>
      <c r="B418" s="14"/>
      <c r="C418" s="14"/>
      <c r="D418" s="14"/>
      <c r="E418" s="14"/>
      <c r="F418" s="14"/>
      <c r="G418" s="14"/>
      <c r="H418" s="14"/>
      <c r="I418" s="14"/>
      <c r="J418" s="14"/>
      <c r="K418" s="14"/>
      <c r="L418" s="13"/>
      <c r="M418" s="13" t="e">
        <f>M417+M416</f>
        <v>#REF!</v>
      </c>
      <c r="N418" s="13">
        <f>N417+N416</f>
        <v>340702.15879105002</v>
      </c>
      <c r="O418" s="13">
        <f>O417+O416</f>
        <v>340702.15879105002</v>
      </c>
      <c r="P418" s="13">
        <f>P417+P416</f>
        <v>340701.91000000003</v>
      </c>
    </row>
    <row r="419" spans="1:16" ht="15.75" x14ac:dyDescent="0.25">
      <c r="A419" s="7" t="s">
        <v>0</v>
      </c>
      <c r="B419" s="6"/>
      <c r="C419" s="6"/>
      <c r="D419" s="6"/>
      <c r="E419" s="6"/>
      <c r="F419" s="6"/>
      <c r="G419" s="6"/>
      <c r="H419" s="6"/>
      <c r="I419" s="6"/>
      <c r="J419" s="6"/>
      <c r="K419" s="6"/>
      <c r="L419" s="5"/>
      <c r="M419" s="4" t="e">
        <f>M418+M410+M402+M394+M386</f>
        <v>#REF!</v>
      </c>
      <c r="N419" s="4">
        <f>N418+N410+N402+N394+N386</f>
        <v>3093069.42911945</v>
      </c>
      <c r="O419" s="4">
        <f>O418+O410+O402+O394+O386</f>
        <v>3093069.42911945</v>
      </c>
      <c r="P419" s="4">
        <f>P418+P410+P402+P394+P386</f>
        <v>3093068.2600000002</v>
      </c>
    </row>
    <row r="420" spans="1:16" s="31" customFormat="1" ht="15.75" x14ac:dyDescent="0.25">
      <c r="A420" s="65" t="s">
        <v>103</v>
      </c>
      <c r="B420" s="58"/>
      <c r="C420" s="58"/>
      <c r="D420" s="58"/>
      <c r="E420" s="58"/>
      <c r="F420" s="58"/>
      <c r="G420" s="58"/>
      <c r="H420" s="58"/>
      <c r="I420" s="58"/>
      <c r="J420" s="58"/>
      <c r="K420" s="58"/>
      <c r="L420" s="64"/>
      <c r="M420" s="63" t="e">
        <f>M419+M376</f>
        <v>#REF!</v>
      </c>
      <c r="N420" s="63">
        <f>N419+N376</f>
        <v>4302879.0879105004</v>
      </c>
      <c r="O420" s="63">
        <f>O419+O376</f>
        <v>4302879.0879105004</v>
      </c>
      <c r="P420" s="63">
        <f>P419+P376</f>
        <v>4326685.17</v>
      </c>
    </row>
    <row r="421" spans="1:16" s="31" customFormat="1" ht="15.75" x14ac:dyDescent="0.25">
      <c r="A421" s="197"/>
      <c r="B421" s="198"/>
      <c r="C421" s="198"/>
      <c r="D421" s="198"/>
      <c r="E421" s="198"/>
      <c r="F421" s="198"/>
      <c r="G421" s="198"/>
      <c r="H421" s="198"/>
      <c r="I421" s="198"/>
      <c r="J421" s="198"/>
      <c r="K421" s="198"/>
      <c r="L421" s="199"/>
      <c r="M421" s="200"/>
      <c r="N421" s="200"/>
      <c r="O421" s="200"/>
      <c r="P421" s="200"/>
    </row>
    <row r="422" spans="1:16" ht="15.75" x14ac:dyDescent="0.25">
      <c r="A422" s="19"/>
      <c r="B422" s="19"/>
      <c r="C422" s="19"/>
      <c r="D422" s="19"/>
      <c r="E422" s="19"/>
      <c r="F422" s="19"/>
      <c r="G422" s="19"/>
      <c r="H422" s="19"/>
      <c r="I422" s="19"/>
      <c r="J422" s="19"/>
      <c r="K422" s="19"/>
      <c r="L422" s="201"/>
      <c r="M422" s="201"/>
      <c r="N422" s="201"/>
      <c r="O422" s="201"/>
      <c r="P422" s="201"/>
    </row>
    <row r="423" spans="1:16" ht="15.75" x14ac:dyDescent="0.25">
      <c r="A423" s="202" t="s">
        <v>104</v>
      </c>
      <c r="B423" s="202"/>
      <c r="C423" s="202"/>
      <c r="D423" s="202"/>
      <c r="E423" s="202"/>
      <c r="F423" s="202"/>
      <c r="G423" s="202"/>
      <c r="H423" s="202"/>
      <c r="I423" s="202"/>
      <c r="J423" s="202"/>
      <c r="K423" s="202"/>
      <c r="L423" s="203"/>
      <c r="M423" s="204" t="e">
        <f>M420+M307</f>
        <v>#REF!</v>
      </c>
      <c r="N423" s="204" t="e">
        <f>N420+N307</f>
        <v>#REF!</v>
      </c>
      <c r="O423" s="204" t="e">
        <f>O420+O307</f>
        <v>#REF!</v>
      </c>
      <c r="P423" s="204" t="e">
        <f>P420+P307</f>
        <v>#REF!</v>
      </c>
    </row>
    <row r="425" spans="1:16" x14ac:dyDescent="0.25">
      <c r="P425" s="3"/>
    </row>
    <row r="426" spans="1:16" x14ac:dyDescent="0.25">
      <c r="P426" s="3"/>
    </row>
  </sheetData>
  <mergeCells count="150">
    <mergeCell ref="A31:A35"/>
    <mergeCell ref="B31:B35"/>
    <mergeCell ref="C31:C35"/>
    <mergeCell ref="A39:A43"/>
    <mergeCell ref="C39:C42"/>
    <mergeCell ref="B47:B51"/>
    <mergeCell ref="C47:C51"/>
    <mergeCell ref="A2:P2"/>
    <mergeCell ref="A3:P3"/>
    <mergeCell ref="A4:B4"/>
    <mergeCell ref="A5:B5"/>
    <mergeCell ref="D5:G5"/>
    <mergeCell ref="H5:K5"/>
    <mergeCell ref="L5:P5"/>
    <mergeCell ref="A7:A11"/>
    <mergeCell ref="C7:C13"/>
    <mergeCell ref="A15:A19"/>
    <mergeCell ref="C15:C21"/>
    <mergeCell ref="A23:A27"/>
    <mergeCell ref="C23:C29"/>
    <mergeCell ref="A56:B56"/>
    <mergeCell ref="A57:B57"/>
    <mergeCell ref="A59:A62"/>
    <mergeCell ref="D57:G57"/>
    <mergeCell ref="A115:B115"/>
    <mergeCell ref="A116:B116"/>
    <mergeCell ref="D116:G116"/>
    <mergeCell ref="C98:C102"/>
    <mergeCell ref="A106:A110"/>
    <mergeCell ref="C106:C110"/>
    <mergeCell ref="A66:A70"/>
    <mergeCell ref="C66:C70"/>
    <mergeCell ref="A74:A78"/>
    <mergeCell ref="C74:C78"/>
    <mergeCell ref="A82:A86"/>
    <mergeCell ref="C82:C86"/>
    <mergeCell ref="H116:K116"/>
    <mergeCell ref="L116:P116"/>
    <mergeCell ref="H57:K57"/>
    <mergeCell ref="L57:P57"/>
    <mergeCell ref="C59:C62"/>
    <mergeCell ref="A118:A122"/>
    <mergeCell ref="C118:C122"/>
    <mergeCell ref="A90:A94"/>
    <mergeCell ref="C90:C94"/>
    <mergeCell ref="A98:A102"/>
    <mergeCell ref="A126:A130"/>
    <mergeCell ref="C126:C130"/>
    <mergeCell ref="A134:A141"/>
    <mergeCell ref="C134:C141"/>
    <mergeCell ref="D163:G163"/>
    <mergeCell ref="H163:K163"/>
    <mergeCell ref="A145:A149"/>
    <mergeCell ref="C145:C149"/>
    <mergeCell ref="A153:A157"/>
    <mergeCell ref="C153:C157"/>
    <mergeCell ref="A162:B162"/>
    <mergeCell ref="A163:B163"/>
    <mergeCell ref="C163:C164"/>
    <mergeCell ref="L163:P163"/>
    <mergeCell ref="A165:A168"/>
    <mergeCell ref="C165:C170"/>
    <mergeCell ref="A174:A176"/>
    <mergeCell ref="C174:C177"/>
    <mergeCell ref="B175:B176"/>
    <mergeCell ref="F175:F176"/>
    <mergeCell ref="G175:G176"/>
    <mergeCell ref="J175:J176"/>
    <mergeCell ref="K175:K176"/>
    <mergeCell ref="A181:A185"/>
    <mergeCell ref="C181:C185"/>
    <mergeCell ref="A189:A193"/>
    <mergeCell ref="C189:C193"/>
    <mergeCell ref="A234:A237"/>
    <mergeCell ref="B234:B237"/>
    <mergeCell ref="C234:C237"/>
    <mergeCell ref="C226:C230"/>
    <mergeCell ref="A197:A200"/>
    <mergeCell ref="C197:C203"/>
    <mergeCell ref="A207:B207"/>
    <mergeCell ref="C207:C208"/>
    <mergeCell ref="A312:A316"/>
    <mergeCell ref="C312:C318"/>
    <mergeCell ref="A320:A324"/>
    <mergeCell ref="A241:A245"/>
    <mergeCell ref="C241:C245"/>
    <mergeCell ref="A249:A253"/>
    <mergeCell ref="C249:C254"/>
    <mergeCell ref="L207:P207"/>
    <mergeCell ref="A209:A214"/>
    <mergeCell ref="C209:C213"/>
    <mergeCell ref="A218:A222"/>
    <mergeCell ref="C218:C222"/>
    <mergeCell ref="A226:A230"/>
    <mergeCell ref="D207:G207"/>
    <mergeCell ref="H207:K207"/>
    <mergeCell ref="A258:A262"/>
    <mergeCell ref="C258:C261"/>
    <mergeCell ref="A267:B267"/>
    <mergeCell ref="A268:B268"/>
    <mergeCell ref="C268:C269"/>
    <mergeCell ref="D268:G268"/>
    <mergeCell ref="H268:K268"/>
    <mergeCell ref="L268:P268"/>
    <mergeCell ref="A270:A278"/>
    <mergeCell ref="B271:B272"/>
    <mergeCell ref="A290:A294"/>
    <mergeCell ref="C290:C294"/>
    <mergeCell ref="A298:A302"/>
    <mergeCell ref="C298:C300"/>
    <mergeCell ref="A309:P309"/>
    <mergeCell ref="A310:B310"/>
    <mergeCell ref="C310:C311"/>
    <mergeCell ref="D310:G310"/>
    <mergeCell ref="H310:K310"/>
    <mergeCell ref="L310:P310"/>
    <mergeCell ref="A282:A286"/>
    <mergeCell ref="C282:C284"/>
    <mergeCell ref="C270:C278"/>
    <mergeCell ref="C320:C324"/>
    <mergeCell ref="A328:A332"/>
    <mergeCell ref="C328:C333"/>
    <mergeCell ref="A336:A340"/>
    <mergeCell ref="C336:C342"/>
    <mergeCell ref="A344:A348"/>
    <mergeCell ref="C344:C350"/>
    <mergeCell ref="D377:G377"/>
    <mergeCell ref="H377:K377"/>
    <mergeCell ref="A352:A356"/>
    <mergeCell ref="C352:C358"/>
    <mergeCell ref="A360:A364"/>
    <mergeCell ref="C360:C364"/>
    <mergeCell ref="A368:A372"/>
    <mergeCell ref="C368:C374"/>
    <mergeCell ref="A377:B377"/>
    <mergeCell ref="C377:C378"/>
    <mergeCell ref="L377:P377"/>
    <mergeCell ref="A411:A415"/>
    <mergeCell ref="C411:C417"/>
    <mergeCell ref="A387:A391"/>
    <mergeCell ref="C387:C393"/>
    <mergeCell ref="A395:A399"/>
    <mergeCell ref="C395:C401"/>
    <mergeCell ref="A403:A407"/>
    <mergeCell ref="B403:B404"/>
    <mergeCell ref="C403:C409"/>
    <mergeCell ref="B407:B409"/>
    <mergeCell ref="A379:A383"/>
    <mergeCell ref="C379:C385"/>
    <mergeCell ref="B381:B382"/>
  </mergeCells>
  <pageMargins left="0.59055118110236227" right="0.55118110236220474" top="0.51181102362204722" bottom="0.47244094488188981" header="0.31496062992125984" footer="0.31496062992125984"/>
  <pageSetup paperSize="9" scale="57" fitToHeight="13" orientation="landscape" r:id="rId1"/>
  <headerFooter>
    <oddFooter>&amp;R&amp;P</oddFooter>
  </headerFooter>
  <rowBreaks count="2" manualBreakCount="2">
    <brk id="29" max="16383" man="1"/>
    <brk id="5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R109"/>
  <sheetViews>
    <sheetView topLeftCell="A97" zoomScale="75" zoomScaleNormal="75" workbookViewId="0">
      <selection activeCell="R78" sqref="R78"/>
    </sheetView>
  </sheetViews>
  <sheetFormatPr defaultRowHeight="15" x14ac:dyDescent="0.25"/>
  <cols>
    <col min="1" max="1" width="28.28515625" customWidth="1"/>
    <col min="2" max="2" width="24.7109375" customWidth="1"/>
    <col min="4" max="4" width="21.5703125" customWidth="1"/>
    <col min="5" max="9" width="4" bestFit="1" customWidth="1"/>
    <col min="10" max="10" width="4.140625" customWidth="1"/>
    <col min="11" max="12" width="4" bestFit="1" customWidth="1"/>
    <col min="13" max="13" width="12.42578125" customWidth="1"/>
    <col min="14" max="14" width="13.85546875" customWidth="1"/>
    <col min="15" max="15" width="11.85546875" customWidth="1"/>
    <col min="16" max="16" width="17.28515625" customWidth="1"/>
    <col min="17" max="17" width="16.140625" customWidth="1"/>
    <col min="18" max="18" width="18.7109375" customWidth="1"/>
  </cols>
  <sheetData>
    <row r="1" spans="1:17" ht="23.25" x14ac:dyDescent="0.35">
      <c r="A1" s="725"/>
      <c r="B1" s="1141" t="s">
        <v>369</v>
      </c>
      <c r="C1" s="1141"/>
      <c r="D1" s="1141"/>
      <c r="E1" s="1141"/>
      <c r="F1" s="1141"/>
      <c r="G1" s="1141"/>
      <c r="H1" s="1141"/>
      <c r="I1" s="1141"/>
      <c r="J1" s="1141"/>
      <c r="K1" s="1141"/>
      <c r="L1" s="1141"/>
      <c r="M1" s="1141"/>
      <c r="N1" s="1141"/>
      <c r="O1" s="1141"/>
      <c r="P1" s="725"/>
      <c r="Q1" s="725"/>
    </row>
    <row r="2" spans="1:17" x14ac:dyDescent="0.25">
      <c r="A2" s="725"/>
      <c r="B2" s="725"/>
      <c r="C2" s="725"/>
      <c r="D2" s="725"/>
      <c r="E2" s="725"/>
      <c r="F2" s="725"/>
      <c r="G2" s="725"/>
      <c r="H2" s="725"/>
      <c r="I2" s="725"/>
      <c r="J2" s="725"/>
      <c r="K2" s="725"/>
      <c r="L2" s="725"/>
      <c r="M2" s="725"/>
      <c r="N2" s="725"/>
      <c r="O2" s="725"/>
      <c r="P2" s="725"/>
      <c r="Q2" s="725"/>
    </row>
    <row r="3" spans="1:17" ht="45" x14ac:dyDescent="0.25">
      <c r="A3" s="1136" t="s">
        <v>370</v>
      </c>
      <c r="B3" s="1136" t="s">
        <v>371</v>
      </c>
      <c r="C3" s="1136" t="s">
        <v>372</v>
      </c>
      <c r="D3" s="1136" t="s">
        <v>373</v>
      </c>
      <c r="E3" s="1136" t="s">
        <v>374</v>
      </c>
      <c r="F3" s="1136"/>
      <c r="G3" s="1136"/>
      <c r="H3" s="1136"/>
      <c r="I3" s="1136"/>
      <c r="J3" s="1136"/>
      <c r="K3" s="1136"/>
      <c r="L3" s="1136"/>
      <c r="M3" s="726" t="s">
        <v>375</v>
      </c>
      <c r="N3" s="726" t="s">
        <v>376</v>
      </c>
      <c r="O3" s="1142" t="s">
        <v>377</v>
      </c>
      <c r="P3" s="1145"/>
      <c r="Q3" s="1145"/>
    </row>
    <row r="4" spans="1:17" x14ac:dyDescent="0.25">
      <c r="A4" s="1136"/>
      <c r="B4" s="1136"/>
      <c r="C4" s="1136"/>
      <c r="D4" s="1136"/>
      <c r="E4" s="1136">
        <v>2014</v>
      </c>
      <c r="F4" s="1136"/>
      <c r="G4" s="1136"/>
      <c r="H4" s="1136"/>
      <c r="I4" s="1136">
        <v>2015</v>
      </c>
      <c r="J4" s="1136"/>
      <c r="K4" s="1136"/>
      <c r="L4" s="1136"/>
      <c r="M4" s="726" t="s">
        <v>378</v>
      </c>
      <c r="N4" s="726" t="s">
        <v>378</v>
      </c>
      <c r="O4" s="1142"/>
      <c r="P4" s="1145" t="s">
        <v>365</v>
      </c>
      <c r="Q4" s="1145"/>
    </row>
    <row r="5" spans="1:17" x14ac:dyDescent="0.25">
      <c r="A5" s="1136"/>
      <c r="B5" s="1136"/>
      <c r="C5" s="1136"/>
      <c r="D5" s="1136"/>
      <c r="E5" s="726" t="s">
        <v>19</v>
      </c>
      <c r="F5" s="726" t="s">
        <v>18</v>
      </c>
      <c r="G5" s="726" t="s">
        <v>17</v>
      </c>
      <c r="H5" s="726" t="s">
        <v>16</v>
      </c>
      <c r="I5" s="726" t="s">
        <v>19</v>
      </c>
      <c r="J5" s="726" t="s">
        <v>18</v>
      </c>
      <c r="K5" s="726" t="s">
        <v>17</v>
      </c>
      <c r="L5" s="726" t="s">
        <v>16</v>
      </c>
      <c r="M5" s="727"/>
      <c r="N5" s="727"/>
      <c r="O5" s="1142"/>
      <c r="P5" s="724" t="s">
        <v>15</v>
      </c>
      <c r="Q5" s="723" t="s">
        <v>286</v>
      </c>
    </row>
    <row r="6" spans="1:17" ht="141.75" customHeight="1" x14ac:dyDescent="0.25">
      <c r="A6" s="1137" t="s">
        <v>379</v>
      </c>
      <c r="B6" s="1137" t="s">
        <v>380</v>
      </c>
      <c r="C6" s="1138" t="s">
        <v>381</v>
      </c>
      <c r="D6" s="728" t="s">
        <v>382</v>
      </c>
      <c r="E6" s="1139"/>
      <c r="F6" s="1139"/>
      <c r="G6" s="1139"/>
      <c r="H6" s="1139"/>
      <c r="I6" s="1137"/>
      <c r="J6" s="1137"/>
      <c r="K6" s="1137"/>
      <c r="L6" s="1137"/>
      <c r="M6" s="1135">
        <v>300000</v>
      </c>
      <c r="N6" s="1134"/>
      <c r="O6" s="1135">
        <v>300000</v>
      </c>
      <c r="P6" s="729" t="s">
        <v>222</v>
      </c>
      <c r="Q6" s="730"/>
    </row>
    <row r="7" spans="1:17" ht="54" customHeight="1" x14ac:dyDescent="0.25">
      <c r="A7" s="1137"/>
      <c r="B7" s="1137"/>
      <c r="C7" s="1138"/>
      <c r="D7" s="728"/>
      <c r="E7" s="1139"/>
      <c r="F7" s="1139"/>
      <c r="G7" s="1139"/>
      <c r="H7" s="1139"/>
      <c r="I7" s="1137"/>
      <c r="J7" s="1137"/>
      <c r="K7" s="1137"/>
      <c r="L7" s="1137"/>
      <c r="M7" s="1135"/>
      <c r="N7" s="1134"/>
      <c r="O7" s="1135"/>
      <c r="P7" s="731" t="s">
        <v>12</v>
      </c>
      <c r="Q7" s="730"/>
    </row>
    <row r="8" spans="1:17" ht="90.75" customHeight="1" x14ac:dyDescent="0.25">
      <c r="A8" s="1137"/>
      <c r="B8" s="1137"/>
      <c r="C8" s="1138"/>
      <c r="D8" s="728" t="s">
        <v>383</v>
      </c>
      <c r="E8" s="1139"/>
      <c r="F8" s="1139"/>
      <c r="G8" s="1139"/>
      <c r="H8" s="1139"/>
      <c r="I8" s="1137"/>
      <c r="J8" s="1137"/>
      <c r="K8" s="1137"/>
      <c r="L8" s="1137"/>
      <c r="M8" s="1135"/>
      <c r="N8" s="1134"/>
      <c r="O8" s="1135"/>
      <c r="P8" s="731" t="s">
        <v>11</v>
      </c>
      <c r="Q8" s="730"/>
    </row>
    <row r="9" spans="1:17" x14ac:dyDescent="0.25">
      <c r="A9" s="1137"/>
      <c r="B9" s="1137"/>
      <c r="C9" s="1138"/>
      <c r="D9" s="728"/>
      <c r="E9" s="1139"/>
      <c r="F9" s="1139"/>
      <c r="G9" s="1139"/>
      <c r="H9" s="1139"/>
      <c r="I9" s="1137"/>
      <c r="J9" s="1137"/>
      <c r="K9" s="1137"/>
      <c r="L9" s="1137"/>
      <c r="M9" s="1135"/>
      <c r="N9" s="1134"/>
      <c r="O9" s="1135"/>
      <c r="P9" s="732" t="s">
        <v>10</v>
      </c>
      <c r="Q9" s="730"/>
    </row>
    <row r="10" spans="1:17" ht="76.5" customHeight="1" x14ac:dyDescent="0.25">
      <c r="A10" s="1137"/>
      <c r="B10" s="1137"/>
      <c r="C10" s="1138"/>
      <c r="D10" s="728" t="s">
        <v>384</v>
      </c>
      <c r="E10" s="1139"/>
      <c r="F10" s="1139"/>
      <c r="G10" s="1139"/>
      <c r="H10" s="1139"/>
      <c r="I10" s="1137"/>
      <c r="J10" s="1137"/>
      <c r="K10" s="1137"/>
      <c r="L10" s="1137"/>
      <c r="M10" s="1135"/>
      <c r="N10" s="1134"/>
      <c r="O10" s="1135"/>
      <c r="P10" s="732" t="s">
        <v>9</v>
      </c>
      <c r="Q10" s="730"/>
    </row>
    <row r="11" spans="1:17" ht="51" customHeight="1" x14ac:dyDescent="0.25">
      <c r="A11" s="1137"/>
      <c r="B11" s="1137"/>
      <c r="C11" s="1138"/>
      <c r="D11" s="728"/>
      <c r="E11" s="1139"/>
      <c r="F11" s="1139"/>
      <c r="G11" s="1139"/>
      <c r="H11" s="1139"/>
      <c r="I11" s="1137"/>
      <c r="J11" s="1137"/>
      <c r="K11" s="1137"/>
      <c r="L11" s="1137"/>
      <c r="M11" s="1135"/>
      <c r="N11" s="1134"/>
      <c r="O11" s="1135"/>
      <c r="P11" s="733" t="s">
        <v>8</v>
      </c>
      <c r="Q11" s="730"/>
    </row>
    <row r="12" spans="1:17" ht="84" customHeight="1" x14ac:dyDescent="0.25">
      <c r="A12" s="1137"/>
      <c r="B12" s="1137"/>
      <c r="C12" s="1138"/>
      <c r="D12" s="728" t="s">
        <v>385</v>
      </c>
      <c r="E12" s="1139"/>
      <c r="F12" s="1139"/>
      <c r="G12" s="1139"/>
      <c r="H12" s="1139"/>
      <c r="I12" s="1137"/>
      <c r="J12" s="1137"/>
      <c r="K12" s="1137"/>
      <c r="L12" s="1137"/>
      <c r="M12" s="1135"/>
      <c r="N12" s="1134"/>
      <c r="O12" s="1135"/>
      <c r="P12" s="733" t="s">
        <v>7</v>
      </c>
      <c r="Q12" s="730"/>
    </row>
    <row r="13" spans="1:17" ht="135.75" customHeight="1" x14ac:dyDescent="0.25">
      <c r="A13" s="1137" t="s">
        <v>386</v>
      </c>
      <c r="B13" s="1137" t="s">
        <v>387</v>
      </c>
      <c r="C13" s="1137" t="s">
        <v>111</v>
      </c>
      <c r="D13" s="728" t="s">
        <v>388</v>
      </c>
      <c r="E13" s="1139"/>
      <c r="F13" s="1139"/>
      <c r="G13" s="1139"/>
      <c r="H13" s="1139"/>
      <c r="I13" s="1139"/>
      <c r="J13" s="1139"/>
      <c r="K13" s="1139"/>
      <c r="L13" s="1139"/>
      <c r="M13" s="1135">
        <v>200000</v>
      </c>
      <c r="N13" s="1135">
        <v>100000</v>
      </c>
      <c r="O13" s="1135">
        <v>300000</v>
      </c>
      <c r="P13" s="734" t="s">
        <v>222</v>
      </c>
      <c r="Q13" s="735"/>
    </row>
    <row r="14" spans="1:17" ht="51" customHeight="1" x14ac:dyDescent="0.25">
      <c r="A14" s="1137"/>
      <c r="B14" s="1137"/>
      <c r="C14" s="1137"/>
      <c r="D14" s="728"/>
      <c r="E14" s="1139"/>
      <c r="F14" s="1139"/>
      <c r="G14" s="1139"/>
      <c r="H14" s="1139"/>
      <c r="I14" s="1139"/>
      <c r="J14" s="1139"/>
      <c r="K14" s="1139"/>
      <c r="L14" s="1139"/>
      <c r="M14" s="1135"/>
      <c r="N14" s="1135"/>
      <c r="O14" s="1135"/>
      <c r="P14" s="736" t="s">
        <v>12</v>
      </c>
      <c r="Q14" s="735"/>
    </row>
    <row r="15" spans="1:17" ht="77.25" customHeight="1" x14ac:dyDescent="0.25">
      <c r="A15" s="1137"/>
      <c r="B15" s="1137"/>
      <c r="C15" s="1137"/>
      <c r="D15" s="728" t="s">
        <v>389</v>
      </c>
      <c r="E15" s="1139"/>
      <c r="F15" s="1139"/>
      <c r="G15" s="1139"/>
      <c r="H15" s="1139"/>
      <c r="I15" s="1139"/>
      <c r="J15" s="1139"/>
      <c r="K15" s="1139"/>
      <c r="L15" s="1139"/>
      <c r="M15" s="1135"/>
      <c r="N15" s="1135"/>
      <c r="O15" s="1135"/>
      <c r="P15" s="736" t="s">
        <v>11</v>
      </c>
      <c r="Q15" s="735"/>
    </row>
    <row r="16" spans="1:17" x14ac:dyDescent="0.25">
      <c r="A16" s="728"/>
      <c r="B16" s="728"/>
      <c r="C16" s="728"/>
      <c r="D16" s="728"/>
      <c r="E16" s="727"/>
      <c r="F16" s="727"/>
      <c r="G16" s="727"/>
      <c r="H16" s="727"/>
      <c r="I16" s="727"/>
      <c r="J16" s="727"/>
      <c r="K16" s="727"/>
      <c r="L16" s="727"/>
      <c r="M16" s="737"/>
      <c r="N16" s="737"/>
      <c r="O16" s="737"/>
      <c r="P16" s="738" t="s">
        <v>10</v>
      </c>
      <c r="Q16" s="735"/>
    </row>
    <row r="17" spans="1:17" x14ac:dyDescent="0.25">
      <c r="A17" s="728"/>
      <c r="B17" s="728"/>
      <c r="C17" s="728"/>
      <c r="D17" s="728"/>
      <c r="E17" s="727"/>
      <c r="F17" s="727"/>
      <c r="G17" s="727"/>
      <c r="H17" s="727"/>
      <c r="I17" s="727"/>
      <c r="J17" s="727"/>
      <c r="K17" s="727"/>
      <c r="L17" s="727"/>
      <c r="M17" s="737"/>
      <c r="N17" s="737"/>
      <c r="O17" s="737"/>
      <c r="P17" s="738" t="s">
        <v>9</v>
      </c>
      <c r="Q17" s="735"/>
    </row>
    <row r="18" spans="1:17" ht="56.25" customHeight="1" x14ac:dyDescent="0.25">
      <c r="A18" s="728"/>
      <c r="B18" s="728"/>
      <c r="C18" s="728"/>
      <c r="D18" s="728"/>
      <c r="E18" s="727"/>
      <c r="F18" s="727"/>
      <c r="G18" s="727"/>
      <c r="H18" s="727"/>
      <c r="I18" s="727"/>
      <c r="J18" s="727"/>
      <c r="K18" s="727"/>
      <c r="L18" s="727"/>
      <c r="M18" s="737"/>
      <c r="N18" s="737"/>
      <c r="O18" s="737"/>
      <c r="P18" s="739" t="s">
        <v>8</v>
      </c>
      <c r="Q18" s="735"/>
    </row>
    <row r="19" spans="1:17" ht="72" customHeight="1" x14ac:dyDescent="0.25">
      <c r="A19" s="728"/>
      <c r="B19" s="728"/>
      <c r="C19" s="728"/>
      <c r="D19" s="728"/>
      <c r="E19" s="727"/>
      <c r="F19" s="727"/>
      <c r="G19" s="727"/>
      <c r="H19" s="727"/>
      <c r="I19" s="727"/>
      <c r="J19" s="727"/>
      <c r="K19" s="727"/>
      <c r="L19" s="727"/>
      <c r="M19" s="737"/>
      <c r="N19" s="737"/>
      <c r="O19" s="737"/>
      <c r="P19" s="739" t="s">
        <v>7</v>
      </c>
      <c r="Q19" s="735"/>
    </row>
    <row r="20" spans="1:17" ht="117" customHeight="1" x14ac:dyDescent="0.25">
      <c r="A20" s="1137"/>
      <c r="B20" s="1137" t="s">
        <v>390</v>
      </c>
      <c r="C20" s="1137" t="s">
        <v>111</v>
      </c>
      <c r="D20" s="728" t="s">
        <v>391</v>
      </c>
      <c r="E20" s="1140"/>
      <c r="F20" s="1139"/>
      <c r="G20" s="1139"/>
      <c r="H20" s="1139"/>
      <c r="I20" s="1140"/>
      <c r="J20" s="1140"/>
      <c r="K20" s="1140"/>
      <c r="L20" s="1140"/>
      <c r="M20" s="1135">
        <v>150000</v>
      </c>
      <c r="N20" s="1134"/>
      <c r="O20" s="1135">
        <v>150000</v>
      </c>
      <c r="P20" s="734" t="s">
        <v>222</v>
      </c>
      <c r="Q20" s="735"/>
    </row>
    <row r="21" spans="1:17" ht="45.75" customHeight="1" x14ac:dyDescent="0.25">
      <c r="A21" s="1137"/>
      <c r="B21" s="1137"/>
      <c r="C21" s="1137"/>
      <c r="D21" s="728"/>
      <c r="E21" s="1140"/>
      <c r="F21" s="1139"/>
      <c r="G21" s="1139"/>
      <c r="H21" s="1139"/>
      <c r="I21" s="1140"/>
      <c r="J21" s="1140"/>
      <c r="K21" s="1140"/>
      <c r="L21" s="1140"/>
      <c r="M21" s="1135"/>
      <c r="N21" s="1134"/>
      <c r="O21" s="1135"/>
      <c r="P21" s="736" t="s">
        <v>12</v>
      </c>
      <c r="Q21" s="735"/>
    </row>
    <row r="22" spans="1:17" ht="70.5" customHeight="1" x14ac:dyDescent="0.25">
      <c r="A22" s="1137"/>
      <c r="B22" s="1137"/>
      <c r="C22" s="1137"/>
      <c r="D22" s="728" t="s">
        <v>392</v>
      </c>
      <c r="E22" s="1140"/>
      <c r="F22" s="1139"/>
      <c r="G22" s="1139"/>
      <c r="H22" s="1139"/>
      <c r="I22" s="1140"/>
      <c r="J22" s="1140"/>
      <c r="K22" s="1140"/>
      <c r="L22" s="1140"/>
      <c r="M22" s="1135"/>
      <c r="N22" s="1134"/>
      <c r="O22" s="1135"/>
      <c r="P22" s="736" t="s">
        <v>11</v>
      </c>
      <c r="Q22" s="735"/>
    </row>
    <row r="23" spans="1:17" x14ac:dyDescent="0.25">
      <c r="A23" s="1137"/>
      <c r="B23" s="1137"/>
      <c r="C23" s="1137"/>
      <c r="D23" s="728"/>
      <c r="E23" s="1140"/>
      <c r="F23" s="1139"/>
      <c r="G23" s="1139"/>
      <c r="H23" s="1139"/>
      <c r="I23" s="1140"/>
      <c r="J23" s="1140"/>
      <c r="K23" s="1140"/>
      <c r="L23" s="1140"/>
      <c r="M23" s="1135"/>
      <c r="N23" s="1134"/>
      <c r="O23" s="1135"/>
      <c r="P23" s="738" t="s">
        <v>10</v>
      </c>
      <c r="Q23" s="735"/>
    </row>
    <row r="24" spans="1:17" ht="122.25" customHeight="1" x14ac:dyDescent="0.25">
      <c r="A24" s="1137"/>
      <c r="B24" s="1137"/>
      <c r="C24" s="1137"/>
      <c r="D24" s="728" t="s">
        <v>393</v>
      </c>
      <c r="E24" s="1140"/>
      <c r="F24" s="1139"/>
      <c r="G24" s="1139"/>
      <c r="H24" s="1139"/>
      <c r="I24" s="1140"/>
      <c r="J24" s="1140"/>
      <c r="K24" s="1140"/>
      <c r="L24" s="1140"/>
      <c r="M24" s="1135"/>
      <c r="N24" s="1134"/>
      <c r="O24" s="1135"/>
      <c r="P24" s="738" t="s">
        <v>9</v>
      </c>
      <c r="Q24" s="735"/>
    </row>
    <row r="25" spans="1:17" ht="48.75" customHeight="1" x14ac:dyDescent="0.25">
      <c r="A25" s="728"/>
      <c r="B25" s="728"/>
      <c r="C25" s="728"/>
      <c r="D25" s="728"/>
      <c r="E25" s="740"/>
      <c r="F25" s="727"/>
      <c r="G25" s="727"/>
      <c r="H25" s="727"/>
      <c r="I25" s="740"/>
      <c r="J25" s="740"/>
      <c r="K25" s="740"/>
      <c r="L25" s="740"/>
      <c r="M25" s="737"/>
      <c r="N25" s="741"/>
      <c r="O25" s="737"/>
      <c r="P25" s="739" t="s">
        <v>8</v>
      </c>
      <c r="Q25" s="735"/>
    </row>
    <row r="26" spans="1:17" ht="71.25" customHeight="1" x14ac:dyDescent="0.25">
      <c r="A26" s="728"/>
      <c r="B26" s="728"/>
      <c r="C26" s="728"/>
      <c r="D26" s="728"/>
      <c r="E26" s="740"/>
      <c r="F26" s="727"/>
      <c r="G26" s="727"/>
      <c r="H26" s="727"/>
      <c r="I26" s="740"/>
      <c r="J26" s="740"/>
      <c r="K26" s="740"/>
      <c r="L26" s="740"/>
      <c r="M26" s="737"/>
      <c r="N26" s="741"/>
      <c r="O26" s="737"/>
      <c r="P26" s="739" t="s">
        <v>7</v>
      </c>
      <c r="Q26" s="735"/>
    </row>
    <row r="27" spans="1:17" ht="130.5" customHeight="1" x14ac:dyDescent="0.25">
      <c r="A27" s="728" t="s">
        <v>386</v>
      </c>
      <c r="B27" s="728" t="s">
        <v>394</v>
      </c>
      <c r="C27" s="742" t="s">
        <v>50</v>
      </c>
      <c r="D27" s="728"/>
      <c r="E27" s="727"/>
      <c r="F27" s="727"/>
      <c r="G27" s="727"/>
      <c r="H27" s="727"/>
      <c r="I27" s="727"/>
      <c r="J27" s="727"/>
      <c r="K27" s="727"/>
      <c r="L27" s="727"/>
      <c r="M27" s="737">
        <v>225000</v>
      </c>
      <c r="N27" s="737">
        <v>112500</v>
      </c>
      <c r="O27" s="737">
        <v>337000</v>
      </c>
      <c r="P27" s="743" t="s">
        <v>222</v>
      </c>
      <c r="Q27" s="744">
        <v>170000</v>
      </c>
    </row>
    <row r="28" spans="1:17" ht="47.25" customHeight="1" x14ac:dyDescent="0.25">
      <c r="A28" s="728"/>
      <c r="B28" s="728"/>
      <c r="C28" s="742"/>
      <c r="D28" s="728"/>
      <c r="E28" s="727"/>
      <c r="F28" s="727"/>
      <c r="G28" s="727"/>
      <c r="H28" s="727"/>
      <c r="I28" s="727"/>
      <c r="J28" s="727"/>
      <c r="K28" s="727"/>
      <c r="L28" s="727"/>
      <c r="M28" s="737"/>
      <c r="N28" s="737"/>
      <c r="O28" s="737"/>
      <c r="P28" s="745" t="s">
        <v>12</v>
      </c>
      <c r="Q28" s="744">
        <v>11000</v>
      </c>
    </row>
    <row r="29" spans="1:17" ht="70.5" customHeight="1" x14ac:dyDescent="0.25">
      <c r="A29" s="728"/>
      <c r="B29" s="728"/>
      <c r="C29" s="742"/>
      <c r="D29" s="728"/>
      <c r="E29" s="727"/>
      <c r="F29" s="727"/>
      <c r="G29" s="727"/>
      <c r="H29" s="727"/>
      <c r="I29" s="727"/>
      <c r="J29" s="727"/>
      <c r="K29" s="727"/>
      <c r="L29" s="727"/>
      <c r="M29" s="737"/>
      <c r="N29" s="737"/>
      <c r="O29" s="737"/>
      <c r="P29" s="745" t="s">
        <v>11</v>
      </c>
      <c r="Q29" s="744">
        <v>5000</v>
      </c>
    </row>
    <row r="30" spans="1:17" x14ac:dyDescent="0.25">
      <c r="A30" s="728"/>
      <c r="B30" s="728"/>
      <c r="C30" s="742"/>
      <c r="D30" s="728"/>
      <c r="E30" s="727"/>
      <c r="F30" s="727"/>
      <c r="G30" s="727"/>
      <c r="H30" s="727"/>
      <c r="I30" s="727"/>
      <c r="J30" s="727"/>
      <c r="K30" s="727"/>
      <c r="L30" s="727"/>
      <c r="M30" s="737"/>
      <c r="N30" s="737"/>
      <c r="O30" s="737"/>
      <c r="P30" s="746" t="s">
        <v>10</v>
      </c>
      <c r="Q30" s="744">
        <v>11000</v>
      </c>
    </row>
    <row r="31" spans="1:17" x14ac:dyDescent="0.25">
      <c r="A31" s="728"/>
      <c r="B31" s="728"/>
      <c r="C31" s="742"/>
      <c r="D31" s="728"/>
      <c r="E31" s="727"/>
      <c r="F31" s="727"/>
      <c r="G31" s="727"/>
      <c r="H31" s="727"/>
      <c r="I31" s="727"/>
      <c r="J31" s="727"/>
      <c r="K31" s="727"/>
      <c r="L31" s="727"/>
      <c r="M31" s="737"/>
      <c r="N31" s="737"/>
      <c r="O31" s="737"/>
      <c r="P31" s="746" t="s">
        <v>9</v>
      </c>
      <c r="Q31" s="744">
        <f>M27*0.1</f>
        <v>22500</v>
      </c>
    </row>
    <row r="32" spans="1:17" ht="48.75" customHeight="1" x14ac:dyDescent="0.25">
      <c r="A32" s="728"/>
      <c r="B32" s="728"/>
      <c r="C32" s="742"/>
      <c r="D32" s="728"/>
      <c r="E32" s="727"/>
      <c r="F32" s="727"/>
      <c r="G32" s="727"/>
      <c r="H32" s="727"/>
      <c r="I32" s="727"/>
      <c r="J32" s="727"/>
      <c r="K32" s="727"/>
      <c r="L32" s="727"/>
      <c r="M32" s="737"/>
      <c r="N32" s="737"/>
      <c r="O32" s="737"/>
      <c r="P32" s="747" t="s">
        <v>8</v>
      </c>
      <c r="Q32" s="744">
        <v>0</v>
      </c>
    </row>
    <row r="33" spans="1:17" ht="76.5" customHeight="1" x14ac:dyDescent="0.25">
      <c r="A33" s="728"/>
      <c r="B33" s="728"/>
      <c r="C33" s="742"/>
      <c r="D33" s="728"/>
      <c r="E33" s="727"/>
      <c r="F33" s="727"/>
      <c r="G33" s="727"/>
      <c r="H33" s="727"/>
      <c r="I33" s="727"/>
      <c r="J33" s="727"/>
      <c r="K33" s="727"/>
      <c r="L33" s="727"/>
      <c r="M33" s="737"/>
      <c r="N33" s="737"/>
      <c r="O33" s="737"/>
      <c r="P33" s="747" t="s">
        <v>7</v>
      </c>
      <c r="Q33" s="744">
        <v>5500</v>
      </c>
    </row>
    <row r="34" spans="1:17" x14ac:dyDescent="0.25">
      <c r="A34" s="1143" t="s">
        <v>395</v>
      </c>
      <c r="B34" s="1143"/>
      <c r="C34" s="1143"/>
      <c r="D34" s="1143"/>
      <c r="E34" s="1143"/>
      <c r="F34" s="1143"/>
      <c r="G34" s="1143"/>
      <c r="H34" s="1143"/>
      <c r="I34" s="1143"/>
      <c r="J34" s="1143"/>
      <c r="K34" s="1143"/>
      <c r="L34" s="1143"/>
      <c r="M34" s="748">
        <f>SUM(M6:M33)</f>
        <v>875000</v>
      </c>
      <c r="N34" s="748">
        <f>SUM(N6:N33)</f>
        <v>212500</v>
      </c>
      <c r="O34" s="748">
        <f>SUM(O6:O33)</f>
        <v>1087000</v>
      </c>
      <c r="P34" s="749"/>
      <c r="Q34" s="750">
        <f>SUM(Q6:Q33)</f>
        <v>225000</v>
      </c>
    </row>
    <row r="35" spans="1:17" ht="182.25" customHeight="1" x14ac:dyDescent="0.25">
      <c r="A35" s="1137" t="s">
        <v>396</v>
      </c>
      <c r="B35" s="1137" t="s">
        <v>397</v>
      </c>
      <c r="C35" s="1137" t="s">
        <v>398</v>
      </c>
      <c r="D35" s="728" t="s">
        <v>399</v>
      </c>
      <c r="E35" s="1140"/>
      <c r="F35" s="1139"/>
      <c r="G35" s="1139"/>
      <c r="H35" s="1139"/>
      <c r="I35" s="1140"/>
      <c r="J35" s="1140"/>
      <c r="K35" s="1140"/>
      <c r="L35" s="1140"/>
      <c r="M35" s="1135">
        <v>200000</v>
      </c>
      <c r="N35" s="1134"/>
      <c r="O35" s="1135">
        <v>200000</v>
      </c>
      <c r="P35" s="734" t="s">
        <v>222</v>
      </c>
      <c r="Q35" s="735"/>
    </row>
    <row r="36" spans="1:17" ht="57.75" customHeight="1" x14ac:dyDescent="0.25">
      <c r="A36" s="1137"/>
      <c r="B36" s="1137"/>
      <c r="C36" s="1137"/>
      <c r="D36" s="728"/>
      <c r="E36" s="1140"/>
      <c r="F36" s="1139"/>
      <c r="G36" s="1139"/>
      <c r="H36" s="1139"/>
      <c r="I36" s="1140"/>
      <c r="J36" s="1140"/>
      <c r="K36" s="1140"/>
      <c r="L36" s="1140"/>
      <c r="M36" s="1135"/>
      <c r="N36" s="1134"/>
      <c r="O36" s="1135"/>
      <c r="P36" s="736" t="s">
        <v>12</v>
      </c>
      <c r="Q36" s="735"/>
    </row>
    <row r="37" spans="1:17" ht="79.5" customHeight="1" x14ac:dyDescent="0.25">
      <c r="A37" s="1137"/>
      <c r="B37" s="1137"/>
      <c r="C37" s="1137"/>
      <c r="D37" s="728" t="s">
        <v>400</v>
      </c>
      <c r="E37" s="1140"/>
      <c r="F37" s="1139"/>
      <c r="G37" s="1139"/>
      <c r="H37" s="1139"/>
      <c r="I37" s="1140"/>
      <c r="J37" s="1140"/>
      <c r="K37" s="1140"/>
      <c r="L37" s="1140"/>
      <c r="M37" s="1135"/>
      <c r="N37" s="1134"/>
      <c r="O37" s="1135"/>
      <c r="P37" s="736" t="s">
        <v>11</v>
      </c>
      <c r="Q37" s="735"/>
    </row>
    <row r="38" spans="1:17" x14ac:dyDescent="0.25">
      <c r="A38" s="728"/>
      <c r="B38" s="728"/>
      <c r="C38" s="728"/>
      <c r="D38" s="728"/>
      <c r="E38" s="740"/>
      <c r="F38" s="727"/>
      <c r="G38" s="727"/>
      <c r="H38" s="727"/>
      <c r="I38" s="740"/>
      <c r="J38" s="740"/>
      <c r="K38" s="740"/>
      <c r="L38" s="740"/>
      <c r="M38" s="737"/>
      <c r="N38" s="741"/>
      <c r="O38" s="737"/>
      <c r="P38" s="738" t="s">
        <v>10</v>
      </c>
      <c r="Q38" s="735"/>
    </row>
    <row r="39" spans="1:17" x14ac:dyDescent="0.25">
      <c r="A39" s="728"/>
      <c r="B39" s="728"/>
      <c r="C39" s="728"/>
      <c r="D39" s="728"/>
      <c r="E39" s="740"/>
      <c r="F39" s="727"/>
      <c r="G39" s="727"/>
      <c r="H39" s="727"/>
      <c r="I39" s="740"/>
      <c r="J39" s="740"/>
      <c r="K39" s="740"/>
      <c r="L39" s="740"/>
      <c r="M39" s="737"/>
      <c r="N39" s="741"/>
      <c r="O39" s="737"/>
      <c r="P39" s="738" t="s">
        <v>9</v>
      </c>
      <c r="Q39" s="735"/>
    </row>
    <row r="40" spans="1:17" ht="54" customHeight="1" x14ac:dyDescent="0.25">
      <c r="A40" s="728"/>
      <c r="B40" s="728"/>
      <c r="C40" s="728"/>
      <c r="D40" s="728"/>
      <c r="E40" s="740"/>
      <c r="F40" s="727"/>
      <c r="G40" s="727"/>
      <c r="H40" s="727"/>
      <c r="I40" s="740"/>
      <c r="J40" s="740"/>
      <c r="K40" s="740"/>
      <c r="L40" s="740"/>
      <c r="M40" s="737"/>
      <c r="N40" s="741"/>
      <c r="O40" s="737"/>
      <c r="P40" s="739" t="s">
        <v>8</v>
      </c>
      <c r="Q40" s="735"/>
    </row>
    <row r="41" spans="1:17" ht="48.75" customHeight="1" x14ac:dyDescent="0.25">
      <c r="A41" s="728"/>
      <c r="B41" s="728"/>
      <c r="C41" s="728"/>
      <c r="D41" s="728"/>
      <c r="E41" s="740"/>
      <c r="F41" s="727"/>
      <c r="G41" s="727"/>
      <c r="H41" s="727"/>
      <c r="I41" s="740"/>
      <c r="J41" s="740"/>
      <c r="K41" s="740"/>
      <c r="L41" s="740"/>
      <c r="M41" s="737"/>
      <c r="N41" s="741"/>
      <c r="O41" s="737"/>
      <c r="P41" s="739" t="s">
        <v>7</v>
      </c>
      <c r="Q41" s="735"/>
    </row>
    <row r="42" spans="1:17" ht="184.5" customHeight="1" x14ac:dyDescent="0.25">
      <c r="A42" s="728" t="s">
        <v>401</v>
      </c>
      <c r="B42" s="728" t="s">
        <v>402</v>
      </c>
      <c r="C42" s="742" t="s">
        <v>50</v>
      </c>
      <c r="D42" s="728" t="s">
        <v>403</v>
      </c>
      <c r="E42" s="727"/>
      <c r="F42" s="727"/>
      <c r="G42" s="727"/>
      <c r="H42" s="727"/>
      <c r="I42" s="727"/>
      <c r="J42" s="727"/>
      <c r="K42" s="727"/>
      <c r="L42" s="727"/>
      <c r="M42" s="737">
        <v>600000</v>
      </c>
      <c r="N42" s="737">
        <v>300000</v>
      </c>
      <c r="O42" s="737">
        <v>900000</v>
      </c>
      <c r="P42" s="743" t="s">
        <v>222</v>
      </c>
      <c r="Q42" s="744">
        <v>477000</v>
      </c>
    </row>
    <row r="43" spans="1:17" ht="53.25" customHeight="1" x14ac:dyDescent="0.25">
      <c r="A43" s="728"/>
      <c r="B43" s="728"/>
      <c r="C43" s="742"/>
      <c r="D43" s="728"/>
      <c r="E43" s="727"/>
      <c r="F43" s="727"/>
      <c r="G43" s="727"/>
      <c r="H43" s="727"/>
      <c r="I43" s="727"/>
      <c r="J43" s="727"/>
      <c r="K43" s="727"/>
      <c r="L43" s="727"/>
      <c r="M43" s="737"/>
      <c r="N43" s="737"/>
      <c r="O43" s="737"/>
      <c r="P43" s="745" t="s">
        <v>12</v>
      </c>
      <c r="Q43" s="744">
        <v>8000</v>
      </c>
    </row>
    <row r="44" spans="1:17" ht="73.5" customHeight="1" x14ac:dyDescent="0.25">
      <c r="A44" s="728"/>
      <c r="B44" s="728"/>
      <c r="C44" s="742"/>
      <c r="D44" s="728"/>
      <c r="E44" s="727"/>
      <c r="F44" s="727"/>
      <c r="G44" s="727"/>
      <c r="H44" s="727"/>
      <c r="I44" s="727"/>
      <c r="J44" s="727"/>
      <c r="K44" s="727"/>
      <c r="L44" s="727"/>
      <c r="M44" s="737"/>
      <c r="N44" s="737"/>
      <c r="O44" s="737"/>
      <c r="P44" s="745" t="s">
        <v>11</v>
      </c>
      <c r="Q44" s="744">
        <v>5000</v>
      </c>
    </row>
    <row r="45" spans="1:17" x14ac:dyDescent="0.25">
      <c r="A45" s="728"/>
      <c r="B45" s="728"/>
      <c r="C45" s="742"/>
      <c r="D45" s="728"/>
      <c r="E45" s="727"/>
      <c r="F45" s="727"/>
      <c r="G45" s="727"/>
      <c r="H45" s="727"/>
      <c r="I45" s="727"/>
      <c r="J45" s="727"/>
      <c r="K45" s="727"/>
      <c r="L45" s="727"/>
      <c r="M45" s="737"/>
      <c r="N45" s="737"/>
      <c r="O45" s="737"/>
      <c r="P45" s="746" t="s">
        <v>10</v>
      </c>
      <c r="Q45" s="744">
        <v>40000</v>
      </c>
    </row>
    <row r="46" spans="1:17" x14ac:dyDescent="0.25">
      <c r="A46" s="728"/>
      <c r="B46" s="728"/>
      <c r="C46" s="742"/>
      <c r="D46" s="728"/>
      <c r="E46" s="727"/>
      <c r="F46" s="727"/>
      <c r="G46" s="727"/>
      <c r="H46" s="727"/>
      <c r="I46" s="727"/>
      <c r="J46" s="727"/>
      <c r="K46" s="727"/>
      <c r="L46" s="727"/>
      <c r="M46" s="737"/>
      <c r="N46" s="737"/>
      <c r="O46" s="737"/>
      <c r="P46" s="746" t="s">
        <v>9</v>
      </c>
      <c r="Q46" s="744">
        <f>M42*0.1</f>
        <v>60000</v>
      </c>
    </row>
    <row r="47" spans="1:17" ht="53.25" customHeight="1" x14ac:dyDescent="0.25">
      <c r="A47" s="728"/>
      <c r="B47" s="728"/>
      <c r="C47" s="742"/>
      <c r="D47" s="728"/>
      <c r="E47" s="727"/>
      <c r="F47" s="727"/>
      <c r="G47" s="727"/>
      <c r="H47" s="727"/>
      <c r="I47" s="727"/>
      <c r="J47" s="727"/>
      <c r="K47" s="727"/>
      <c r="L47" s="727"/>
      <c r="M47" s="737"/>
      <c r="N47" s="737"/>
      <c r="O47" s="737"/>
      <c r="P47" s="747" t="s">
        <v>8</v>
      </c>
      <c r="Q47" s="744">
        <v>0</v>
      </c>
    </row>
    <row r="48" spans="1:17" ht="62.25" customHeight="1" x14ac:dyDescent="0.25">
      <c r="A48" s="728"/>
      <c r="B48" s="728"/>
      <c r="C48" s="742"/>
      <c r="D48" s="728"/>
      <c r="E48" s="727"/>
      <c r="F48" s="727"/>
      <c r="G48" s="727"/>
      <c r="H48" s="727"/>
      <c r="I48" s="727"/>
      <c r="J48" s="727"/>
      <c r="K48" s="727"/>
      <c r="L48" s="727"/>
      <c r="M48" s="737"/>
      <c r="N48" s="737"/>
      <c r="O48" s="737"/>
      <c r="P48" s="747" t="s">
        <v>7</v>
      </c>
      <c r="Q48" s="744">
        <v>10000</v>
      </c>
    </row>
    <row r="49" spans="1:17" ht="75" customHeight="1" x14ac:dyDescent="0.25">
      <c r="A49" s="728"/>
      <c r="B49" s="728" t="s">
        <v>404</v>
      </c>
      <c r="C49" s="742" t="s">
        <v>50</v>
      </c>
      <c r="D49" s="728"/>
      <c r="E49" s="727"/>
      <c r="F49" s="727"/>
      <c r="G49" s="727"/>
      <c r="H49" s="727"/>
      <c r="I49" s="727"/>
      <c r="J49" s="727"/>
      <c r="K49" s="727"/>
      <c r="L49" s="727"/>
      <c r="M49" s="737">
        <v>300000</v>
      </c>
      <c r="N49" s="737">
        <v>150000</v>
      </c>
      <c r="O49" s="737">
        <v>450000</v>
      </c>
      <c r="P49" s="743" t="s">
        <v>222</v>
      </c>
      <c r="Q49" s="744">
        <v>237000</v>
      </c>
    </row>
    <row r="50" spans="1:17" ht="65.25" customHeight="1" x14ac:dyDescent="0.25">
      <c r="A50" s="728"/>
      <c r="B50" s="728"/>
      <c r="C50" s="742"/>
      <c r="D50" s="728"/>
      <c r="E50" s="727"/>
      <c r="F50" s="727"/>
      <c r="G50" s="727"/>
      <c r="H50" s="727"/>
      <c r="I50" s="727"/>
      <c r="J50" s="727"/>
      <c r="K50" s="727"/>
      <c r="L50" s="727"/>
      <c r="M50" s="737"/>
      <c r="N50" s="737"/>
      <c r="O50" s="737"/>
      <c r="P50" s="745" t="s">
        <v>12</v>
      </c>
      <c r="Q50" s="744">
        <f>M49*0.01</f>
        <v>3000</v>
      </c>
    </row>
    <row r="51" spans="1:17" ht="77.25" customHeight="1" x14ac:dyDescent="0.25">
      <c r="A51" s="728"/>
      <c r="B51" s="728"/>
      <c r="C51" s="742"/>
      <c r="D51" s="728"/>
      <c r="E51" s="727"/>
      <c r="F51" s="727"/>
      <c r="G51" s="727"/>
      <c r="H51" s="727"/>
      <c r="I51" s="727"/>
      <c r="J51" s="727"/>
      <c r="K51" s="727"/>
      <c r="L51" s="727"/>
      <c r="M51" s="737"/>
      <c r="N51" s="737"/>
      <c r="O51" s="737"/>
      <c r="P51" s="745" t="s">
        <v>11</v>
      </c>
      <c r="Q51" s="744">
        <v>5000</v>
      </c>
    </row>
    <row r="52" spans="1:17" x14ac:dyDescent="0.25">
      <c r="A52" s="728"/>
      <c r="B52" s="728"/>
      <c r="C52" s="742"/>
      <c r="D52" s="728"/>
      <c r="E52" s="727"/>
      <c r="F52" s="727"/>
      <c r="G52" s="727"/>
      <c r="H52" s="727"/>
      <c r="I52" s="727"/>
      <c r="J52" s="727"/>
      <c r="K52" s="727"/>
      <c r="L52" s="727"/>
      <c r="M52" s="737"/>
      <c r="N52" s="737"/>
      <c r="O52" s="737"/>
      <c r="P52" s="746" t="s">
        <v>10</v>
      </c>
      <c r="Q52" s="744">
        <f>M49*0.05</f>
        <v>15000</v>
      </c>
    </row>
    <row r="53" spans="1:17" x14ac:dyDescent="0.25">
      <c r="A53" s="728"/>
      <c r="B53" s="728"/>
      <c r="C53" s="742"/>
      <c r="D53" s="728"/>
      <c r="E53" s="727"/>
      <c r="F53" s="727"/>
      <c r="G53" s="727"/>
      <c r="H53" s="727"/>
      <c r="I53" s="727"/>
      <c r="J53" s="727"/>
      <c r="K53" s="727"/>
      <c r="L53" s="727"/>
      <c r="M53" s="737"/>
      <c r="N53" s="737"/>
      <c r="O53" s="737"/>
      <c r="P53" s="746" t="s">
        <v>9</v>
      </c>
      <c r="Q53" s="744">
        <f>M49*0.1</f>
        <v>30000</v>
      </c>
    </row>
    <row r="54" spans="1:17" ht="48.75" customHeight="1" x14ac:dyDescent="0.25">
      <c r="A54" s="728"/>
      <c r="B54" s="728"/>
      <c r="C54" s="742"/>
      <c r="D54" s="728"/>
      <c r="E54" s="727"/>
      <c r="F54" s="727"/>
      <c r="G54" s="727"/>
      <c r="H54" s="727"/>
      <c r="I54" s="727"/>
      <c r="J54" s="727"/>
      <c r="K54" s="727"/>
      <c r="L54" s="727"/>
      <c r="M54" s="737"/>
      <c r="N54" s="737"/>
      <c r="O54" s="737"/>
      <c r="P54" s="747" t="s">
        <v>8</v>
      </c>
      <c r="Q54" s="744">
        <v>0</v>
      </c>
    </row>
    <row r="55" spans="1:17" ht="57" customHeight="1" x14ac:dyDescent="0.25">
      <c r="A55" s="728"/>
      <c r="B55" s="728"/>
      <c r="C55" s="742"/>
      <c r="D55" s="728"/>
      <c r="E55" s="727"/>
      <c r="F55" s="727"/>
      <c r="G55" s="727"/>
      <c r="H55" s="727"/>
      <c r="I55" s="727"/>
      <c r="J55" s="727"/>
      <c r="K55" s="727"/>
      <c r="L55" s="727"/>
      <c r="M55" s="737"/>
      <c r="N55" s="737"/>
      <c r="O55" s="737"/>
      <c r="P55" s="747" t="s">
        <v>7</v>
      </c>
      <c r="Q55" s="744">
        <v>10000</v>
      </c>
    </row>
    <row r="56" spans="1:17" ht="203.25" customHeight="1" x14ac:dyDescent="0.25">
      <c r="A56" s="1137" t="s">
        <v>401</v>
      </c>
      <c r="B56" s="1137" t="s">
        <v>405</v>
      </c>
      <c r="C56" s="1138" t="s">
        <v>50</v>
      </c>
      <c r="D56" s="728" t="s">
        <v>406</v>
      </c>
      <c r="E56" s="1139"/>
      <c r="F56" s="1139"/>
      <c r="G56" s="1139"/>
      <c r="H56" s="1139"/>
      <c r="I56" s="1139"/>
      <c r="J56" s="1139"/>
      <c r="K56" s="1139"/>
      <c r="L56" s="1139"/>
      <c r="M56" s="1135">
        <v>300000</v>
      </c>
      <c r="N56" s="1135">
        <v>150000</v>
      </c>
      <c r="O56" s="1135">
        <v>450000</v>
      </c>
      <c r="P56" s="743" t="s">
        <v>222</v>
      </c>
      <c r="Q56" s="744">
        <f>M56*0.7</f>
        <v>210000</v>
      </c>
    </row>
    <row r="57" spans="1:17" ht="44.25" customHeight="1" x14ac:dyDescent="0.25">
      <c r="A57" s="1137"/>
      <c r="B57" s="1137"/>
      <c r="C57" s="1138"/>
      <c r="D57" s="728"/>
      <c r="E57" s="1139"/>
      <c r="F57" s="1139"/>
      <c r="G57" s="1139"/>
      <c r="H57" s="1139"/>
      <c r="I57" s="1139"/>
      <c r="J57" s="1139"/>
      <c r="K57" s="1139"/>
      <c r="L57" s="1139"/>
      <c r="M57" s="1135"/>
      <c r="N57" s="1135"/>
      <c r="O57" s="1135"/>
      <c r="P57" s="745" t="s">
        <v>12</v>
      </c>
      <c r="Q57" s="744">
        <f>M56*0.05</f>
        <v>15000</v>
      </c>
    </row>
    <row r="58" spans="1:17" ht="166.5" customHeight="1" x14ac:dyDescent="0.25">
      <c r="A58" s="1137"/>
      <c r="B58" s="1137"/>
      <c r="C58" s="1138"/>
      <c r="D58" s="728" t="s">
        <v>407</v>
      </c>
      <c r="E58" s="1139"/>
      <c r="F58" s="1139"/>
      <c r="G58" s="1139"/>
      <c r="H58" s="1139"/>
      <c r="I58" s="1139"/>
      <c r="J58" s="1139"/>
      <c r="K58" s="1139"/>
      <c r="L58" s="1139"/>
      <c r="M58" s="1135"/>
      <c r="N58" s="1135"/>
      <c r="O58" s="1135"/>
      <c r="P58" s="745" t="s">
        <v>11</v>
      </c>
      <c r="Q58" s="744">
        <f>M56*0.05</f>
        <v>15000</v>
      </c>
    </row>
    <row r="59" spans="1:17" x14ac:dyDescent="0.25">
      <c r="A59" s="728"/>
      <c r="B59" s="728"/>
      <c r="C59" s="742"/>
      <c r="D59" s="728"/>
      <c r="E59" s="727"/>
      <c r="F59" s="727"/>
      <c r="G59" s="727"/>
      <c r="H59" s="727"/>
      <c r="I59" s="727"/>
      <c r="J59" s="727"/>
      <c r="K59" s="727"/>
      <c r="L59" s="727"/>
      <c r="M59" s="737"/>
      <c r="N59" s="737"/>
      <c r="O59" s="737"/>
      <c r="P59" s="746" t="s">
        <v>10</v>
      </c>
      <c r="Q59" s="744">
        <f>M56*0.05</f>
        <v>15000</v>
      </c>
    </row>
    <row r="60" spans="1:17" x14ac:dyDescent="0.25">
      <c r="A60" s="728"/>
      <c r="B60" s="728"/>
      <c r="C60" s="742"/>
      <c r="D60" s="728"/>
      <c r="E60" s="727"/>
      <c r="F60" s="727"/>
      <c r="G60" s="727"/>
      <c r="H60" s="727"/>
      <c r="I60" s="727"/>
      <c r="J60" s="727"/>
      <c r="K60" s="727"/>
      <c r="L60" s="727"/>
      <c r="M60" s="737"/>
      <c r="N60" s="737"/>
      <c r="O60" s="737"/>
      <c r="P60" s="746" t="s">
        <v>9</v>
      </c>
      <c r="Q60" s="744">
        <f>M56*0.1</f>
        <v>30000</v>
      </c>
    </row>
    <row r="61" spans="1:17" ht="48" customHeight="1" x14ac:dyDescent="0.25">
      <c r="A61" s="728"/>
      <c r="B61" s="728"/>
      <c r="C61" s="742"/>
      <c r="D61" s="728"/>
      <c r="E61" s="727"/>
      <c r="F61" s="727"/>
      <c r="G61" s="727"/>
      <c r="H61" s="727"/>
      <c r="I61" s="727"/>
      <c r="J61" s="727"/>
      <c r="K61" s="727"/>
      <c r="L61" s="727"/>
      <c r="M61" s="737"/>
      <c r="N61" s="737"/>
      <c r="O61" s="737"/>
      <c r="P61" s="747" t="s">
        <v>8</v>
      </c>
      <c r="Q61" s="744">
        <v>0</v>
      </c>
    </row>
    <row r="62" spans="1:17" ht="62.25" customHeight="1" x14ac:dyDescent="0.25">
      <c r="A62" s="728"/>
      <c r="B62" s="728"/>
      <c r="C62" s="742"/>
      <c r="D62" s="728"/>
      <c r="E62" s="727"/>
      <c r="F62" s="727"/>
      <c r="G62" s="727"/>
      <c r="H62" s="727"/>
      <c r="I62" s="727"/>
      <c r="J62" s="727"/>
      <c r="K62" s="727"/>
      <c r="L62" s="727"/>
      <c r="M62" s="737"/>
      <c r="N62" s="737"/>
      <c r="O62" s="737"/>
      <c r="P62" s="747" t="s">
        <v>7</v>
      </c>
      <c r="Q62" s="744">
        <f>M56*0.05</f>
        <v>15000</v>
      </c>
    </row>
    <row r="63" spans="1:17" ht="204.75" customHeight="1" x14ac:dyDescent="0.25">
      <c r="A63" s="728" t="s">
        <v>401</v>
      </c>
      <c r="B63" s="728" t="s">
        <v>408</v>
      </c>
      <c r="C63" s="742" t="s">
        <v>50</v>
      </c>
      <c r="D63" s="728" t="s">
        <v>409</v>
      </c>
      <c r="E63" s="740"/>
      <c r="F63" s="740"/>
      <c r="G63" s="740"/>
      <c r="H63" s="740"/>
      <c r="I63" s="727"/>
      <c r="J63" s="727"/>
      <c r="K63" s="727"/>
      <c r="L63" s="727"/>
      <c r="M63" s="737">
        <v>250000</v>
      </c>
      <c r="N63" s="737">
        <v>125000</v>
      </c>
      <c r="O63" s="737">
        <v>375000</v>
      </c>
      <c r="P63" s="743" t="s">
        <v>222</v>
      </c>
      <c r="Q63" s="744">
        <v>195000</v>
      </c>
    </row>
    <row r="64" spans="1:17" ht="62.25" customHeight="1" x14ac:dyDescent="0.25">
      <c r="A64" s="728"/>
      <c r="B64" s="728"/>
      <c r="C64" s="742"/>
      <c r="D64" s="728"/>
      <c r="E64" s="740"/>
      <c r="F64" s="740"/>
      <c r="G64" s="740"/>
      <c r="H64" s="740"/>
      <c r="I64" s="727"/>
      <c r="J64" s="727"/>
      <c r="K64" s="727"/>
      <c r="L64" s="727"/>
      <c r="M64" s="737"/>
      <c r="N64" s="737"/>
      <c r="O64" s="737"/>
      <c r="P64" s="745" t="s">
        <v>12</v>
      </c>
      <c r="Q64" s="744">
        <v>7500</v>
      </c>
    </row>
    <row r="65" spans="1:18" ht="74.25" customHeight="1" x14ac:dyDescent="0.25">
      <c r="A65" s="728"/>
      <c r="B65" s="728"/>
      <c r="C65" s="742"/>
      <c r="D65" s="728"/>
      <c r="E65" s="740"/>
      <c r="F65" s="740"/>
      <c r="G65" s="740"/>
      <c r="H65" s="740"/>
      <c r="I65" s="727"/>
      <c r="J65" s="727"/>
      <c r="K65" s="727"/>
      <c r="L65" s="727"/>
      <c r="M65" s="737"/>
      <c r="N65" s="737"/>
      <c r="O65" s="737"/>
      <c r="P65" s="745" t="s">
        <v>11</v>
      </c>
      <c r="Q65" s="744">
        <v>5000</v>
      </c>
    </row>
    <row r="66" spans="1:18" x14ac:dyDescent="0.25">
      <c r="A66" s="728"/>
      <c r="B66" s="728"/>
      <c r="C66" s="742"/>
      <c r="D66" s="728"/>
      <c r="E66" s="740"/>
      <c r="F66" s="740"/>
      <c r="G66" s="740"/>
      <c r="H66" s="740"/>
      <c r="I66" s="727"/>
      <c r="J66" s="727"/>
      <c r="K66" s="727"/>
      <c r="L66" s="727"/>
      <c r="M66" s="737"/>
      <c r="N66" s="737"/>
      <c r="O66" s="737"/>
      <c r="P66" s="746" t="s">
        <v>10</v>
      </c>
      <c r="Q66" s="744">
        <f>M63*0.05</f>
        <v>12500</v>
      </c>
    </row>
    <row r="67" spans="1:18" x14ac:dyDescent="0.25">
      <c r="A67" s="728"/>
      <c r="B67" s="728"/>
      <c r="C67" s="742"/>
      <c r="D67" s="728"/>
      <c r="E67" s="740"/>
      <c r="F67" s="740"/>
      <c r="G67" s="740"/>
      <c r="H67" s="740"/>
      <c r="I67" s="727"/>
      <c r="J67" s="727"/>
      <c r="K67" s="727"/>
      <c r="L67" s="727"/>
      <c r="M67" s="737"/>
      <c r="N67" s="737"/>
      <c r="O67" s="737"/>
      <c r="P67" s="746" t="s">
        <v>9</v>
      </c>
      <c r="Q67" s="744">
        <f>M63*0.1</f>
        <v>25000</v>
      </c>
    </row>
    <row r="68" spans="1:18" ht="48" customHeight="1" x14ac:dyDescent="0.25">
      <c r="A68" s="728"/>
      <c r="B68" s="728"/>
      <c r="C68" s="742"/>
      <c r="D68" s="728"/>
      <c r="E68" s="740"/>
      <c r="F68" s="740"/>
      <c r="G68" s="740"/>
      <c r="H68" s="740"/>
      <c r="I68" s="727"/>
      <c r="J68" s="727"/>
      <c r="K68" s="727"/>
      <c r="L68" s="727"/>
      <c r="M68" s="737"/>
      <c r="N68" s="737"/>
      <c r="O68" s="737"/>
      <c r="P68" s="747" t="s">
        <v>8</v>
      </c>
      <c r="Q68" s="744">
        <v>0</v>
      </c>
    </row>
    <row r="69" spans="1:18" ht="44.25" customHeight="1" x14ac:dyDescent="0.25">
      <c r="A69" s="728"/>
      <c r="B69" s="728"/>
      <c r="C69" s="742"/>
      <c r="D69" s="728"/>
      <c r="E69" s="740"/>
      <c r="F69" s="740"/>
      <c r="G69" s="740"/>
      <c r="H69" s="740"/>
      <c r="I69" s="727"/>
      <c r="J69" s="727"/>
      <c r="K69" s="727"/>
      <c r="L69" s="727"/>
      <c r="M69" s="737"/>
      <c r="N69" s="737"/>
      <c r="O69" s="737"/>
      <c r="P69" s="747" t="s">
        <v>7</v>
      </c>
      <c r="Q69" s="744">
        <v>5000</v>
      </c>
    </row>
    <row r="70" spans="1:18" ht="167.25" customHeight="1" x14ac:dyDescent="0.25">
      <c r="A70" s="728"/>
      <c r="B70" s="728" t="s">
        <v>410</v>
      </c>
      <c r="C70" s="728" t="s">
        <v>111</v>
      </c>
      <c r="D70" s="728" t="s">
        <v>411</v>
      </c>
      <c r="E70" s="727"/>
      <c r="F70" s="727"/>
      <c r="G70" s="727"/>
      <c r="H70" s="727"/>
      <c r="I70" s="740"/>
      <c r="J70" s="740"/>
      <c r="K70" s="740"/>
      <c r="L70" s="740"/>
      <c r="M70" s="737">
        <v>100000</v>
      </c>
      <c r="N70" s="741"/>
      <c r="O70" s="737">
        <v>100000</v>
      </c>
      <c r="P70" s="734" t="s">
        <v>222</v>
      </c>
      <c r="Q70" s="735"/>
    </row>
    <row r="71" spans="1:18" ht="50.25" customHeight="1" x14ac:dyDescent="0.25">
      <c r="A71" s="728"/>
      <c r="B71" s="728"/>
      <c r="C71" s="728"/>
      <c r="D71" s="728"/>
      <c r="E71" s="727"/>
      <c r="F71" s="727"/>
      <c r="G71" s="727"/>
      <c r="H71" s="727"/>
      <c r="I71" s="740"/>
      <c r="J71" s="740"/>
      <c r="K71" s="740"/>
      <c r="L71" s="740"/>
      <c r="M71" s="737"/>
      <c r="N71" s="741"/>
      <c r="O71" s="737"/>
      <c r="P71" s="736" t="s">
        <v>12</v>
      </c>
      <c r="Q71" s="735"/>
    </row>
    <row r="72" spans="1:18" ht="75.75" customHeight="1" x14ac:dyDescent="0.25">
      <c r="A72" s="728"/>
      <c r="B72" s="728"/>
      <c r="C72" s="728"/>
      <c r="D72" s="728"/>
      <c r="E72" s="727"/>
      <c r="F72" s="727"/>
      <c r="G72" s="727"/>
      <c r="H72" s="727"/>
      <c r="I72" s="740"/>
      <c r="J72" s="740"/>
      <c r="K72" s="740"/>
      <c r="L72" s="740"/>
      <c r="M72" s="737"/>
      <c r="N72" s="741"/>
      <c r="O72" s="737"/>
      <c r="P72" s="736" t="s">
        <v>11</v>
      </c>
      <c r="Q72" s="735"/>
    </row>
    <row r="73" spans="1:18" x14ac:dyDescent="0.25">
      <c r="A73" s="728"/>
      <c r="B73" s="728"/>
      <c r="C73" s="728"/>
      <c r="D73" s="728"/>
      <c r="E73" s="727"/>
      <c r="F73" s="727"/>
      <c r="G73" s="727"/>
      <c r="H73" s="727"/>
      <c r="I73" s="740"/>
      <c r="J73" s="740"/>
      <c r="K73" s="740"/>
      <c r="L73" s="740"/>
      <c r="M73" s="737"/>
      <c r="N73" s="741"/>
      <c r="O73" s="737"/>
      <c r="P73" s="738" t="s">
        <v>10</v>
      </c>
      <c r="Q73" s="735"/>
    </row>
    <row r="74" spans="1:18" x14ac:dyDescent="0.25">
      <c r="A74" s="728"/>
      <c r="B74" s="728"/>
      <c r="C74" s="728"/>
      <c r="D74" s="728"/>
      <c r="E74" s="727"/>
      <c r="F74" s="727"/>
      <c r="G74" s="727"/>
      <c r="H74" s="727"/>
      <c r="I74" s="740"/>
      <c r="J74" s="740"/>
      <c r="K74" s="740"/>
      <c r="L74" s="740"/>
      <c r="M74" s="737"/>
      <c r="N74" s="741"/>
      <c r="O74" s="737"/>
      <c r="P74" s="738" t="s">
        <v>9</v>
      </c>
      <c r="Q74" s="735"/>
    </row>
    <row r="75" spans="1:18" ht="51.75" customHeight="1" x14ac:dyDescent="0.25">
      <c r="A75" s="728"/>
      <c r="B75" s="728"/>
      <c r="C75" s="728"/>
      <c r="D75" s="728"/>
      <c r="E75" s="727"/>
      <c r="F75" s="727"/>
      <c r="G75" s="727"/>
      <c r="H75" s="727"/>
      <c r="I75" s="740"/>
      <c r="J75" s="740"/>
      <c r="K75" s="740"/>
      <c r="L75" s="740"/>
      <c r="M75" s="737"/>
      <c r="N75" s="741"/>
      <c r="O75" s="737"/>
      <c r="P75" s="739" t="s">
        <v>8</v>
      </c>
      <c r="Q75" s="735"/>
    </row>
    <row r="76" spans="1:18" ht="69.75" customHeight="1" x14ac:dyDescent="0.25">
      <c r="A76" s="728"/>
      <c r="B76" s="728"/>
      <c r="C76" s="728"/>
      <c r="D76" s="728"/>
      <c r="E76" s="727"/>
      <c r="F76" s="727"/>
      <c r="G76" s="727"/>
      <c r="H76" s="727"/>
      <c r="I76" s="740"/>
      <c r="J76" s="740"/>
      <c r="K76" s="740"/>
      <c r="L76" s="740"/>
      <c r="M76" s="737"/>
      <c r="N76" s="741"/>
      <c r="O76" s="737"/>
      <c r="P76" s="739" t="s">
        <v>7</v>
      </c>
      <c r="Q76" s="735"/>
    </row>
    <row r="77" spans="1:18" x14ac:dyDescent="0.25">
      <c r="A77" s="1143" t="s">
        <v>412</v>
      </c>
      <c r="B77" s="1143"/>
      <c r="C77" s="1143"/>
      <c r="D77" s="1143"/>
      <c r="E77" s="1143"/>
      <c r="F77" s="1143"/>
      <c r="G77" s="1143"/>
      <c r="H77" s="1143"/>
      <c r="I77" s="1143"/>
      <c r="J77" s="1143"/>
      <c r="K77" s="1143"/>
      <c r="L77" s="1143"/>
      <c r="M77" s="748">
        <f>SUM(M35:M76)</f>
        <v>1750000</v>
      </c>
      <c r="N77" s="748">
        <f>SUM(N35:N76)</f>
        <v>725000</v>
      </c>
      <c r="O77" s="748">
        <f>SUM(O35:O76)</f>
        <v>2475000</v>
      </c>
      <c r="P77" s="749"/>
      <c r="Q77" s="748">
        <f>SUM(Q35:Q76)</f>
        <v>1450000</v>
      </c>
      <c r="R77" s="753" t="e">
        <f>Q77-'Secretariat work plan 2014 '!#REF!</f>
        <v>#REF!</v>
      </c>
    </row>
    <row r="78" spans="1:18" ht="68.25" customHeight="1" x14ac:dyDescent="0.25">
      <c r="A78" s="1137" t="s">
        <v>413</v>
      </c>
      <c r="B78" s="1137" t="s">
        <v>414</v>
      </c>
      <c r="C78" s="1138" t="s">
        <v>381</v>
      </c>
      <c r="D78" s="728" t="s">
        <v>415</v>
      </c>
      <c r="E78" s="1139"/>
      <c r="F78" s="1139"/>
      <c r="G78" s="1139"/>
      <c r="H78" s="1139"/>
      <c r="I78" s="1139"/>
      <c r="J78" s="1139"/>
      <c r="K78" s="1139"/>
      <c r="L78" s="1139"/>
      <c r="M78" s="1135">
        <v>275000</v>
      </c>
      <c r="N78" s="1135">
        <v>137500</v>
      </c>
      <c r="O78" s="1135">
        <v>412500</v>
      </c>
      <c r="P78" s="729" t="s">
        <v>222</v>
      </c>
      <c r="Q78" s="730"/>
    </row>
    <row r="79" spans="1:18" ht="42" customHeight="1" x14ac:dyDescent="0.25">
      <c r="A79" s="1137"/>
      <c r="B79" s="1137"/>
      <c r="C79" s="1138"/>
      <c r="D79" s="728"/>
      <c r="E79" s="1139"/>
      <c r="F79" s="1139"/>
      <c r="G79" s="1139"/>
      <c r="H79" s="1139"/>
      <c r="I79" s="1139"/>
      <c r="J79" s="1139"/>
      <c r="K79" s="1139"/>
      <c r="L79" s="1139"/>
      <c r="M79" s="1135"/>
      <c r="N79" s="1135"/>
      <c r="O79" s="1135"/>
      <c r="P79" s="731" t="s">
        <v>12</v>
      </c>
      <c r="Q79" s="730"/>
    </row>
    <row r="80" spans="1:18" ht="75" customHeight="1" x14ac:dyDescent="0.25">
      <c r="A80" s="1137"/>
      <c r="B80" s="1137"/>
      <c r="C80" s="1138"/>
      <c r="D80" s="728" t="s">
        <v>416</v>
      </c>
      <c r="E80" s="1139"/>
      <c r="F80" s="1139"/>
      <c r="G80" s="1139"/>
      <c r="H80" s="1139"/>
      <c r="I80" s="1139"/>
      <c r="J80" s="1139"/>
      <c r="K80" s="1139"/>
      <c r="L80" s="1139"/>
      <c r="M80" s="1135"/>
      <c r="N80" s="1135"/>
      <c r="O80" s="1135"/>
      <c r="P80" s="731" t="s">
        <v>11</v>
      </c>
      <c r="Q80" s="730"/>
    </row>
    <row r="81" spans="1:17" x14ac:dyDescent="0.25">
      <c r="A81" s="728"/>
      <c r="B81" s="728"/>
      <c r="C81" s="742"/>
      <c r="D81" s="728"/>
      <c r="E81" s="727"/>
      <c r="F81" s="727"/>
      <c r="G81" s="727"/>
      <c r="H81" s="727"/>
      <c r="I81" s="727"/>
      <c r="J81" s="727"/>
      <c r="K81" s="727"/>
      <c r="L81" s="727"/>
      <c r="M81" s="737"/>
      <c r="N81" s="737"/>
      <c r="O81" s="737"/>
      <c r="P81" s="732" t="s">
        <v>10</v>
      </c>
      <c r="Q81" s="730"/>
    </row>
    <row r="82" spans="1:17" x14ac:dyDescent="0.25">
      <c r="A82" s="728"/>
      <c r="B82" s="728"/>
      <c r="C82" s="742"/>
      <c r="D82" s="728"/>
      <c r="E82" s="727"/>
      <c r="F82" s="727"/>
      <c r="G82" s="727"/>
      <c r="H82" s="727"/>
      <c r="I82" s="727"/>
      <c r="J82" s="727"/>
      <c r="K82" s="727"/>
      <c r="L82" s="727"/>
      <c r="M82" s="737"/>
      <c r="N82" s="737"/>
      <c r="O82" s="737"/>
      <c r="P82" s="732" t="s">
        <v>9</v>
      </c>
      <c r="Q82" s="730"/>
    </row>
    <row r="83" spans="1:17" ht="45.75" customHeight="1" x14ac:dyDescent="0.25">
      <c r="A83" s="728"/>
      <c r="B83" s="728"/>
      <c r="C83" s="742"/>
      <c r="D83" s="728"/>
      <c r="E83" s="727"/>
      <c r="F83" s="727"/>
      <c r="G83" s="727"/>
      <c r="H83" s="727"/>
      <c r="I83" s="727"/>
      <c r="J83" s="727"/>
      <c r="K83" s="727"/>
      <c r="L83" s="727"/>
      <c r="M83" s="737"/>
      <c r="N83" s="737"/>
      <c r="O83" s="737"/>
      <c r="P83" s="733" t="s">
        <v>8</v>
      </c>
      <c r="Q83" s="730"/>
    </row>
    <row r="84" spans="1:17" ht="48.75" customHeight="1" x14ac:dyDescent="0.25">
      <c r="A84" s="728"/>
      <c r="B84" s="728"/>
      <c r="C84" s="742"/>
      <c r="D84" s="728"/>
      <c r="E84" s="727"/>
      <c r="F84" s="727"/>
      <c r="G84" s="727"/>
      <c r="H84" s="727"/>
      <c r="I84" s="727"/>
      <c r="J84" s="727"/>
      <c r="K84" s="727"/>
      <c r="L84" s="727"/>
      <c r="M84" s="737"/>
      <c r="N84" s="737"/>
      <c r="O84" s="737"/>
      <c r="P84" s="733" t="s">
        <v>7</v>
      </c>
      <c r="Q84" s="730"/>
    </row>
    <row r="85" spans="1:17" ht="150" customHeight="1" x14ac:dyDescent="0.25">
      <c r="A85" s="728" t="s">
        <v>417</v>
      </c>
      <c r="B85" s="728" t="s">
        <v>418</v>
      </c>
      <c r="C85" s="728" t="s">
        <v>111</v>
      </c>
      <c r="D85" s="728" t="s">
        <v>419</v>
      </c>
      <c r="E85" s="727"/>
      <c r="F85" s="727"/>
      <c r="G85" s="727"/>
      <c r="H85" s="727"/>
      <c r="I85" s="727"/>
      <c r="J85" s="727"/>
      <c r="K85" s="727"/>
      <c r="L85" s="727"/>
      <c r="M85" s="737">
        <v>300000</v>
      </c>
      <c r="N85" s="737">
        <v>150000</v>
      </c>
      <c r="O85" s="737">
        <v>450000</v>
      </c>
      <c r="P85" s="734" t="s">
        <v>222</v>
      </c>
      <c r="Q85" s="735"/>
    </row>
    <row r="86" spans="1:17" ht="45.75" customHeight="1" x14ac:dyDescent="0.25">
      <c r="A86" s="728"/>
      <c r="B86" s="728"/>
      <c r="C86" s="728"/>
      <c r="D86" s="728"/>
      <c r="E86" s="727"/>
      <c r="F86" s="727"/>
      <c r="G86" s="727"/>
      <c r="H86" s="727"/>
      <c r="I86" s="727"/>
      <c r="J86" s="727"/>
      <c r="K86" s="727"/>
      <c r="L86" s="727"/>
      <c r="M86" s="737"/>
      <c r="N86" s="737"/>
      <c r="O86" s="737"/>
      <c r="P86" s="736" t="s">
        <v>12</v>
      </c>
      <c r="Q86" s="735"/>
    </row>
    <row r="87" spans="1:17" ht="75.75" customHeight="1" x14ac:dyDescent="0.25">
      <c r="A87" s="728"/>
      <c r="B87" s="728"/>
      <c r="C87" s="728"/>
      <c r="D87" s="728"/>
      <c r="E87" s="727"/>
      <c r="F87" s="727"/>
      <c r="G87" s="727"/>
      <c r="H87" s="727"/>
      <c r="I87" s="727"/>
      <c r="J87" s="727"/>
      <c r="K87" s="727"/>
      <c r="L87" s="727"/>
      <c r="M87" s="737"/>
      <c r="N87" s="737"/>
      <c r="O87" s="737"/>
      <c r="P87" s="736" t="s">
        <v>11</v>
      </c>
      <c r="Q87" s="735"/>
    </row>
    <row r="88" spans="1:17" x14ac:dyDescent="0.25">
      <c r="A88" s="728"/>
      <c r="B88" s="728"/>
      <c r="C88" s="728"/>
      <c r="D88" s="728"/>
      <c r="E88" s="727"/>
      <c r="F88" s="727"/>
      <c r="G88" s="727"/>
      <c r="H88" s="727"/>
      <c r="I88" s="727"/>
      <c r="J88" s="727"/>
      <c r="K88" s="727"/>
      <c r="L88" s="727"/>
      <c r="M88" s="737"/>
      <c r="N88" s="737"/>
      <c r="O88" s="737"/>
      <c r="P88" s="738" t="s">
        <v>10</v>
      </c>
      <c r="Q88" s="735"/>
    </row>
    <row r="89" spans="1:17" x14ac:dyDescent="0.25">
      <c r="A89" s="728"/>
      <c r="B89" s="728"/>
      <c r="C89" s="728"/>
      <c r="D89" s="728"/>
      <c r="E89" s="727"/>
      <c r="F89" s="727"/>
      <c r="G89" s="727"/>
      <c r="H89" s="727"/>
      <c r="I89" s="727"/>
      <c r="J89" s="727"/>
      <c r="K89" s="727"/>
      <c r="L89" s="727"/>
      <c r="M89" s="737"/>
      <c r="N89" s="737"/>
      <c r="O89" s="737"/>
      <c r="P89" s="738" t="s">
        <v>9</v>
      </c>
      <c r="Q89" s="735"/>
    </row>
    <row r="90" spans="1:17" ht="47.25" customHeight="1" x14ac:dyDescent="0.25">
      <c r="A90" s="728"/>
      <c r="B90" s="728"/>
      <c r="C90" s="728"/>
      <c r="D90" s="728"/>
      <c r="E90" s="727"/>
      <c r="F90" s="727"/>
      <c r="G90" s="727"/>
      <c r="H90" s="727"/>
      <c r="I90" s="727"/>
      <c r="J90" s="727"/>
      <c r="K90" s="727"/>
      <c r="L90" s="727"/>
      <c r="M90" s="737"/>
      <c r="N90" s="737"/>
      <c r="O90" s="737"/>
      <c r="P90" s="739" t="s">
        <v>8</v>
      </c>
      <c r="Q90" s="735"/>
    </row>
    <row r="91" spans="1:17" ht="64.5" customHeight="1" x14ac:dyDescent="0.25">
      <c r="A91" s="728"/>
      <c r="B91" s="728"/>
      <c r="C91" s="728"/>
      <c r="D91" s="728"/>
      <c r="E91" s="727"/>
      <c r="F91" s="727"/>
      <c r="G91" s="727"/>
      <c r="H91" s="727"/>
      <c r="I91" s="727"/>
      <c r="J91" s="727"/>
      <c r="K91" s="727"/>
      <c r="L91" s="727"/>
      <c r="M91" s="737"/>
      <c r="N91" s="737"/>
      <c r="O91" s="737"/>
      <c r="P91" s="739" t="s">
        <v>7</v>
      </c>
      <c r="Q91" s="735"/>
    </row>
    <row r="92" spans="1:17" ht="114.75" customHeight="1" x14ac:dyDescent="0.25">
      <c r="A92" s="728"/>
      <c r="B92" s="728" t="s">
        <v>420</v>
      </c>
      <c r="C92" s="728" t="s">
        <v>111</v>
      </c>
      <c r="D92" s="728" t="s">
        <v>421</v>
      </c>
      <c r="E92" s="727"/>
      <c r="F92" s="727"/>
      <c r="G92" s="727"/>
      <c r="H92" s="727"/>
      <c r="I92" s="740"/>
      <c r="J92" s="740"/>
      <c r="K92" s="740"/>
      <c r="L92" s="740"/>
      <c r="M92" s="737">
        <v>150000</v>
      </c>
      <c r="N92" s="741"/>
      <c r="O92" s="737">
        <v>150000</v>
      </c>
      <c r="P92" s="734" t="s">
        <v>222</v>
      </c>
      <c r="Q92" s="735"/>
    </row>
    <row r="93" spans="1:17" ht="50.25" customHeight="1" x14ac:dyDescent="0.25">
      <c r="A93" s="728"/>
      <c r="B93" s="728"/>
      <c r="C93" s="728"/>
      <c r="D93" s="728"/>
      <c r="E93" s="727"/>
      <c r="F93" s="727"/>
      <c r="G93" s="727"/>
      <c r="H93" s="727"/>
      <c r="I93" s="740"/>
      <c r="J93" s="740"/>
      <c r="K93" s="740"/>
      <c r="L93" s="740"/>
      <c r="M93" s="737"/>
      <c r="N93" s="741"/>
      <c r="O93" s="737"/>
      <c r="P93" s="736" t="s">
        <v>12</v>
      </c>
      <c r="Q93" s="735"/>
    </row>
    <row r="94" spans="1:17" ht="69" customHeight="1" x14ac:dyDescent="0.25">
      <c r="A94" s="728"/>
      <c r="B94" s="728"/>
      <c r="C94" s="728"/>
      <c r="D94" s="728"/>
      <c r="E94" s="727"/>
      <c r="F94" s="727"/>
      <c r="G94" s="727"/>
      <c r="H94" s="727"/>
      <c r="I94" s="740"/>
      <c r="J94" s="740"/>
      <c r="K94" s="740"/>
      <c r="L94" s="740"/>
      <c r="M94" s="737"/>
      <c r="N94" s="741"/>
      <c r="O94" s="737"/>
      <c r="P94" s="736" t="s">
        <v>11</v>
      </c>
      <c r="Q94" s="735"/>
    </row>
    <row r="95" spans="1:17" x14ac:dyDescent="0.25">
      <c r="A95" s="728"/>
      <c r="B95" s="728"/>
      <c r="C95" s="728"/>
      <c r="D95" s="728"/>
      <c r="E95" s="727"/>
      <c r="F95" s="727"/>
      <c r="G95" s="727"/>
      <c r="H95" s="727"/>
      <c r="I95" s="740"/>
      <c r="J95" s="740"/>
      <c r="K95" s="740"/>
      <c r="L95" s="740"/>
      <c r="M95" s="737"/>
      <c r="N95" s="741"/>
      <c r="O95" s="737"/>
      <c r="P95" s="738" t="s">
        <v>10</v>
      </c>
      <c r="Q95" s="735"/>
    </row>
    <row r="96" spans="1:17" x14ac:dyDescent="0.25">
      <c r="A96" s="728"/>
      <c r="B96" s="728"/>
      <c r="C96" s="728"/>
      <c r="D96" s="728"/>
      <c r="E96" s="727"/>
      <c r="F96" s="727"/>
      <c r="G96" s="727"/>
      <c r="H96" s="727"/>
      <c r="I96" s="740"/>
      <c r="J96" s="740"/>
      <c r="K96" s="740"/>
      <c r="L96" s="740"/>
      <c r="M96" s="737"/>
      <c r="N96" s="741"/>
      <c r="O96" s="737"/>
      <c r="P96" s="738" t="s">
        <v>9</v>
      </c>
      <c r="Q96" s="735"/>
    </row>
    <row r="97" spans="1:17" ht="45" customHeight="1" x14ac:dyDescent="0.25">
      <c r="A97" s="728"/>
      <c r="B97" s="728"/>
      <c r="C97" s="728"/>
      <c r="D97" s="728"/>
      <c r="E97" s="727"/>
      <c r="F97" s="727"/>
      <c r="G97" s="727"/>
      <c r="H97" s="727"/>
      <c r="I97" s="740"/>
      <c r="J97" s="740"/>
      <c r="K97" s="740"/>
      <c r="L97" s="740"/>
      <c r="M97" s="737"/>
      <c r="N97" s="741"/>
      <c r="O97" s="737"/>
      <c r="P97" s="739" t="s">
        <v>8</v>
      </c>
      <c r="Q97" s="735"/>
    </row>
    <row r="98" spans="1:17" ht="60" x14ac:dyDescent="0.25">
      <c r="A98" s="728"/>
      <c r="B98" s="728"/>
      <c r="C98" s="728"/>
      <c r="D98" s="728"/>
      <c r="E98" s="727"/>
      <c r="F98" s="727"/>
      <c r="G98" s="727"/>
      <c r="H98" s="727"/>
      <c r="I98" s="740"/>
      <c r="J98" s="740"/>
      <c r="K98" s="740"/>
      <c r="L98" s="740"/>
      <c r="M98" s="737"/>
      <c r="N98" s="741"/>
      <c r="O98" s="737"/>
      <c r="P98" s="739" t="s">
        <v>7</v>
      </c>
      <c r="Q98" s="735"/>
    </row>
    <row r="99" spans="1:17" x14ac:dyDescent="0.25">
      <c r="A99" s="1144" t="s">
        <v>422</v>
      </c>
      <c r="B99" s="1144"/>
      <c r="C99" s="1144"/>
      <c r="D99" s="1144"/>
      <c r="E99" s="1144"/>
      <c r="F99" s="1144"/>
      <c r="G99" s="1144"/>
      <c r="H99" s="1144"/>
      <c r="I99" s="1144"/>
      <c r="J99" s="1144"/>
      <c r="K99" s="1144"/>
      <c r="L99" s="1144"/>
      <c r="M99" s="751">
        <f>SUM(M78:M98)</f>
        <v>725000</v>
      </c>
      <c r="N99" s="751">
        <f>SUM(N78:N98)</f>
        <v>287500</v>
      </c>
      <c r="O99" s="751">
        <f>SUM(O78:O98)</f>
        <v>1012500</v>
      </c>
      <c r="P99" s="749"/>
      <c r="Q99" s="751">
        <f>SUM(Q78:Q98)</f>
        <v>0</v>
      </c>
    </row>
    <row r="100" spans="1:17" x14ac:dyDescent="0.25">
      <c r="A100" s="1144" t="s">
        <v>423</v>
      </c>
      <c r="B100" s="1144"/>
      <c r="C100" s="1144"/>
      <c r="D100" s="1144"/>
      <c r="E100" s="1144"/>
      <c r="F100" s="1144"/>
      <c r="G100" s="1144"/>
      <c r="H100" s="1144"/>
      <c r="I100" s="1144"/>
      <c r="J100" s="1144"/>
      <c r="K100" s="1144"/>
      <c r="L100" s="1144"/>
      <c r="M100" s="751">
        <f>M34+M77+M99</f>
        <v>3350000</v>
      </c>
      <c r="N100" s="751">
        <f>N34+N77+N99</f>
        <v>1225000</v>
      </c>
      <c r="O100" s="751">
        <f>O34+O77+O99</f>
        <v>4574500</v>
      </c>
      <c r="P100" s="749"/>
      <c r="Q100" s="751">
        <f>Q34+Q77+Q99</f>
        <v>1675000</v>
      </c>
    </row>
    <row r="101" spans="1:17" x14ac:dyDescent="0.25">
      <c r="A101" s="1144" t="s">
        <v>424</v>
      </c>
      <c r="B101" s="1144"/>
      <c r="C101" s="1144"/>
      <c r="D101" s="1144"/>
      <c r="E101" s="1144"/>
      <c r="F101" s="1144"/>
      <c r="G101" s="1144"/>
      <c r="H101" s="1144"/>
      <c r="I101" s="1144"/>
      <c r="J101" s="1144"/>
      <c r="K101" s="1144"/>
      <c r="L101" s="1144"/>
      <c r="M101" s="751">
        <f>M100*0.07</f>
        <v>234500.00000000003</v>
      </c>
      <c r="N101" s="751">
        <f>N100*0.07</f>
        <v>85750.000000000015</v>
      </c>
      <c r="O101" s="751">
        <f>O100*0.07</f>
        <v>320215.00000000006</v>
      </c>
      <c r="P101" s="749"/>
      <c r="Q101" s="751">
        <f>Q100*0.07</f>
        <v>117250.00000000001</v>
      </c>
    </row>
    <row r="102" spans="1:17" x14ac:dyDescent="0.25">
      <c r="A102" s="1144" t="s">
        <v>425</v>
      </c>
      <c r="B102" s="1144"/>
      <c r="C102" s="1144"/>
      <c r="D102" s="1144"/>
      <c r="E102" s="1144"/>
      <c r="F102" s="1144"/>
      <c r="G102" s="1144"/>
      <c r="H102" s="1144"/>
      <c r="I102" s="1144"/>
      <c r="J102" s="1144"/>
      <c r="K102" s="1144"/>
      <c r="L102" s="1144"/>
      <c r="M102" s="751">
        <f>M100+M101</f>
        <v>3584500</v>
      </c>
      <c r="N102" s="751">
        <f>N100+N101</f>
        <v>1310750</v>
      </c>
      <c r="O102" s="751">
        <f>O100+O101</f>
        <v>4894715</v>
      </c>
      <c r="P102" s="749"/>
      <c r="Q102" s="751">
        <f>Q100+Q101</f>
        <v>1792250</v>
      </c>
    </row>
    <row r="103" spans="1:17" x14ac:dyDescent="0.25">
      <c r="A103" s="725"/>
      <c r="B103" s="725"/>
      <c r="C103" s="725"/>
      <c r="D103" s="725"/>
      <c r="E103" s="725"/>
      <c r="F103" s="725"/>
      <c r="G103" s="725"/>
      <c r="H103" s="725"/>
      <c r="I103" s="725"/>
      <c r="J103" s="725"/>
      <c r="K103" s="725"/>
      <c r="L103" s="725"/>
      <c r="M103" s="725"/>
      <c r="N103" s="725"/>
      <c r="O103" s="725"/>
      <c r="P103" s="725"/>
      <c r="Q103" s="725"/>
    </row>
    <row r="104" spans="1:17" x14ac:dyDescent="0.25">
      <c r="A104" s="725"/>
      <c r="B104" s="725"/>
      <c r="C104" s="725"/>
      <c r="D104" s="725"/>
      <c r="E104" s="725"/>
      <c r="F104" s="725"/>
      <c r="G104" s="725"/>
      <c r="H104" s="725"/>
      <c r="I104" s="725"/>
      <c r="J104" s="725"/>
      <c r="K104" s="725"/>
      <c r="L104" s="725"/>
      <c r="M104" s="725"/>
      <c r="N104" s="725"/>
      <c r="O104" s="725"/>
      <c r="P104" s="725"/>
      <c r="Q104" s="725"/>
    </row>
    <row r="105" spans="1:17" x14ac:dyDescent="0.25">
      <c r="A105" s="725"/>
      <c r="B105" s="725"/>
      <c r="C105" s="725"/>
      <c r="D105" s="725"/>
      <c r="E105" s="725"/>
      <c r="F105" s="725"/>
      <c r="G105" s="725"/>
      <c r="H105" s="725"/>
      <c r="I105" s="725"/>
      <c r="J105" t="s">
        <v>111</v>
      </c>
      <c r="K105" s="725"/>
      <c r="L105" s="725"/>
      <c r="M105" s="752">
        <f>M13+M20+M35+M70+M85+M92</f>
        <v>1100000</v>
      </c>
      <c r="N105" s="725"/>
      <c r="O105" s="725"/>
      <c r="P105" s="725"/>
      <c r="Q105" s="725"/>
    </row>
    <row r="106" spans="1:17" x14ac:dyDescent="0.25">
      <c r="A106" s="725"/>
      <c r="B106" s="725"/>
      <c r="C106" s="725"/>
      <c r="D106" s="725"/>
      <c r="E106" s="725"/>
      <c r="F106" s="725"/>
      <c r="G106" s="725"/>
      <c r="H106" s="725"/>
      <c r="I106" s="725"/>
      <c r="J106" t="s">
        <v>50</v>
      </c>
      <c r="K106" s="725"/>
      <c r="L106" s="725"/>
      <c r="M106" s="752">
        <f>M27+M42+M49+M56+M63</f>
        <v>1675000</v>
      </c>
      <c r="N106" s="725"/>
      <c r="O106" s="725"/>
      <c r="P106" s="725"/>
      <c r="Q106" s="725"/>
    </row>
    <row r="107" spans="1:17" x14ac:dyDescent="0.25">
      <c r="A107" s="725"/>
      <c r="B107" s="725"/>
      <c r="C107" s="725"/>
      <c r="D107" s="725"/>
      <c r="E107" s="725"/>
      <c r="F107" s="725"/>
      <c r="G107" s="725"/>
      <c r="H107" s="725"/>
      <c r="I107" s="725"/>
      <c r="J107" t="s">
        <v>426</v>
      </c>
      <c r="K107" s="725"/>
      <c r="L107" s="725"/>
      <c r="M107" s="752">
        <f>M6+M78</f>
        <v>575000</v>
      </c>
      <c r="N107" s="725"/>
      <c r="O107" s="725"/>
      <c r="P107" s="725"/>
      <c r="Q107" s="725"/>
    </row>
    <row r="108" spans="1:17" x14ac:dyDescent="0.25">
      <c r="A108" s="725"/>
      <c r="B108" s="725"/>
      <c r="C108" s="725"/>
      <c r="D108" s="725"/>
      <c r="E108" s="725"/>
      <c r="F108" s="725"/>
      <c r="G108" s="725"/>
      <c r="H108" s="725"/>
      <c r="I108" s="725"/>
      <c r="J108" s="725"/>
      <c r="K108" s="725"/>
      <c r="L108" s="725"/>
      <c r="M108" s="752">
        <f>SUM(M105:M107)</f>
        <v>3350000</v>
      </c>
      <c r="N108" s="725">
        <f>M108/2</f>
        <v>1675000</v>
      </c>
      <c r="O108" s="725"/>
      <c r="P108" s="725"/>
      <c r="Q108" s="725"/>
    </row>
    <row r="109" spans="1:17" x14ac:dyDescent="0.25">
      <c r="N109" s="753">
        <f>M105+M107</f>
        <v>1675000</v>
      </c>
    </row>
  </sheetData>
  <mergeCells count="101">
    <mergeCell ref="P3:Q3"/>
    <mergeCell ref="P4:Q4"/>
    <mergeCell ref="N78:N80"/>
    <mergeCell ref="O78:O80"/>
    <mergeCell ref="A99:L99"/>
    <mergeCell ref="M78:M80"/>
    <mergeCell ref="K56:K58"/>
    <mergeCell ref="L56:L58"/>
    <mergeCell ref="M56:M58"/>
    <mergeCell ref="N56:N58"/>
    <mergeCell ref="O20:O24"/>
    <mergeCell ref="A34:L34"/>
    <mergeCell ref="A35:A37"/>
    <mergeCell ref="B35:B37"/>
    <mergeCell ref="C35:C37"/>
    <mergeCell ref="E35:E37"/>
    <mergeCell ref="F35:F37"/>
    <mergeCell ref="J56:J58"/>
    <mergeCell ref="I35:I37"/>
    <mergeCell ref="J35:J37"/>
    <mergeCell ref="E56:E58"/>
    <mergeCell ref="F56:F58"/>
    <mergeCell ref="G56:G58"/>
    <mergeCell ref="O56:O58"/>
    <mergeCell ref="A100:L100"/>
    <mergeCell ref="A101:L101"/>
    <mergeCell ref="A102:L102"/>
    <mergeCell ref="H78:H80"/>
    <mergeCell ref="I78:I80"/>
    <mergeCell ref="J78:J80"/>
    <mergeCell ref="K78:K80"/>
    <mergeCell ref="L78:L80"/>
    <mergeCell ref="A78:A80"/>
    <mergeCell ref="B78:B80"/>
    <mergeCell ref="C78:C80"/>
    <mergeCell ref="E78:E80"/>
    <mergeCell ref="F78:F80"/>
    <mergeCell ref="G78:G80"/>
    <mergeCell ref="A77:L77"/>
    <mergeCell ref="O35:O37"/>
    <mergeCell ref="A56:A58"/>
    <mergeCell ref="B56:B58"/>
    <mergeCell ref="C56:C58"/>
    <mergeCell ref="K35:K37"/>
    <mergeCell ref="G35:G37"/>
    <mergeCell ref="H35:H37"/>
    <mergeCell ref="H56:H58"/>
    <mergeCell ref="I56:I58"/>
    <mergeCell ref="M35:M37"/>
    <mergeCell ref="N35:N37"/>
    <mergeCell ref="L35:L37"/>
    <mergeCell ref="L20:L24"/>
    <mergeCell ref="A13:A15"/>
    <mergeCell ref="B13:B15"/>
    <mergeCell ref="C13:C15"/>
    <mergeCell ref="E13:E15"/>
    <mergeCell ref="F13:F15"/>
    <mergeCell ref="G13:G15"/>
    <mergeCell ref="H13:H15"/>
    <mergeCell ref="H20:H24"/>
    <mergeCell ref="I20:I24"/>
    <mergeCell ref="J20:J24"/>
    <mergeCell ref="K20:K24"/>
    <mergeCell ref="O13:O15"/>
    <mergeCell ref="N6:N12"/>
    <mergeCell ref="O6:O12"/>
    <mergeCell ref="N13:N15"/>
    <mergeCell ref="B1:O1"/>
    <mergeCell ref="O3:O5"/>
    <mergeCell ref="E4:H4"/>
    <mergeCell ref="I4:L4"/>
    <mergeCell ref="I13:I15"/>
    <mergeCell ref="K6:K12"/>
    <mergeCell ref="L6:L12"/>
    <mergeCell ref="J13:J15"/>
    <mergeCell ref="K13:K15"/>
    <mergeCell ref="L13:L15"/>
    <mergeCell ref="N20:N24"/>
    <mergeCell ref="M13:M15"/>
    <mergeCell ref="M20:M24"/>
    <mergeCell ref="A3:A5"/>
    <mergeCell ref="B3:B5"/>
    <mergeCell ref="C3:C5"/>
    <mergeCell ref="D3:D5"/>
    <mergeCell ref="E3:L3"/>
    <mergeCell ref="M6:M12"/>
    <mergeCell ref="A6:A12"/>
    <mergeCell ref="B6:B12"/>
    <mergeCell ref="C6:C12"/>
    <mergeCell ref="E6:E12"/>
    <mergeCell ref="F6:F12"/>
    <mergeCell ref="G6:G12"/>
    <mergeCell ref="H6:H12"/>
    <mergeCell ref="I6:I12"/>
    <mergeCell ref="J6:J12"/>
    <mergeCell ref="A20:A24"/>
    <mergeCell ref="B20:B24"/>
    <mergeCell ref="C20:C24"/>
    <mergeCell ref="E20:E24"/>
    <mergeCell ref="F20:F24"/>
    <mergeCell ref="G20:G24"/>
  </mergeCells>
  <hyperlinks>
    <hyperlink ref="O3" location="_ftn2" display="_ftn2"/>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
  <sheetViews>
    <sheetView topLeftCell="A2" workbookViewId="0">
      <selection activeCell="A2" sqref="A2:C38"/>
    </sheetView>
  </sheetViews>
  <sheetFormatPr defaultRowHeight="15" x14ac:dyDescent="0.25"/>
  <cols>
    <col min="1" max="1" width="25.7109375" customWidth="1"/>
    <col min="2" max="2" width="26.140625" customWidth="1"/>
    <col min="3" max="3" width="13.140625" customWidth="1"/>
  </cols>
  <sheetData/>
  <pageMargins left="0.7" right="0.7" top="0.75" bottom="0.75" header="0.3" footer="0.3"/>
  <pageSetup paperSize="9" orientation="portrait"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4:CR24"/>
  <sheetViews>
    <sheetView zoomScale="75" zoomScaleNormal="75" zoomScaleSheetLayoutView="75" workbookViewId="0">
      <selection activeCell="K9" sqref="K9"/>
    </sheetView>
  </sheetViews>
  <sheetFormatPr defaultColWidth="12.7109375" defaultRowHeight="15" x14ac:dyDescent="0.25"/>
  <cols>
    <col min="1" max="1" width="27.85546875" style="350" customWidth="1"/>
    <col min="2" max="2" width="51.5703125" style="350" customWidth="1"/>
    <col min="3" max="3" width="23.140625" style="350" customWidth="1"/>
    <col min="4" max="4" width="28" style="261" customWidth="1"/>
    <col min="5" max="5" width="29" style="261" customWidth="1"/>
    <col min="6" max="6" width="19.7109375" style="261" customWidth="1"/>
    <col min="7" max="7" width="9.7109375" style="261" bestFit="1" customWidth="1"/>
    <col min="8" max="242" width="9.140625" style="261" customWidth="1"/>
    <col min="243" max="243" width="15.5703125" style="261" customWidth="1"/>
    <col min="244" max="244" width="40" style="261" customWidth="1"/>
    <col min="245" max="248" width="12.7109375" style="261" customWidth="1"/>
    <col min="249" max="249" width="9.28515625" style="261" customWidth="1"/>
    <col min="250" max="253" width="12.7109375" style="261" customWidth="1"/>
    <col min="254" max="254" width="9.5703125" style="261" customWidth="1"/>
    <col min="255" max="16384" width="12.7109375" style="261"/>
  </cols>
  <sheetData>
    <row r="4" spans="1:72" s="257" customFormat="1" ht="23.25" customHeight="1" x14ac:dyDescent="0.35">
      <c r="A4" s="925" t="s">
        <v>354</v>
      </c>
      <c r="B4" s="925"/>
      <c r="C4" s="925"/>
      <c r="D4" s="925"/>
      <c r="E4" s="925"/>
      <c r="F4" s="925"/>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row>
    <row r="5" spans="1:72" ht="66" customHeight="1" x14ac:dyDescent="0.25">
      <c r="A5" s="262" t="s">
        <v>261</v>
      </c>
      <c r="B5" s="263" t="s">
        <v>262</v>
      </c>
      <c r="C5" s="695" t="s">
        <v>350</v>
      </c>
      <c r="D5" s="692" t="s">
        <v>351</v>
      </c>
      <c r="E5" s="691" t="s">
        <v>352</v>
      </c>
      <c r="F5" s="923" t="s">
        <v>364</v>
      </c>
    </row>
    <row r="6" spans="1:72" ht="44.25" customHeight="1" x14ac:dyDescent="0.25">
      <c r="A6" s="262"/>
      <c r="B6" s="263"/>
      <c r="C6" s="696" t="s">
        <v>363</v>
      </c>
      <c r="D6" s="693" t="s">
        <v>363</v>
      </c>
      <c r="E6" s="265" t="s">
        <v>363</v>
      </c>
      <c r="F6" s="924"/>
    </row>
    <row r="7" spans="1:72" ht="52.5" customHeight="1" x14ac:dyDescent="0.25">
      <c r="A7" s="283" t="s">
        <v>266</v>
      </c>
      <c r="B7" s="685" t="s">
        <v>267</v>
      </c>
      <c r="C7" s="697" t="e">
        <f>#REF!</f>
        <v>#REF!</v>
      </c>
      <c r="D7" s="304" t="e">
        <f>#REF!</f>
        <v>#REF!</v>
      </c>
      <c r="E7" s="299" t="e">
        <f>#REF!</f>
        <v>#REF!</v>
      </c>
      <c r="F7" s="299" t="e">
        <f t="shared" ref="F7:F12" si="0">D7+E7</f>
        <v>#REF!</v>
      </c>
    </row>
    <row r="8" spans="1:72" ht="58.5" customHeight="1" x14ac:dyDescent="0.25">
      <c r="A8" s="283" t="s">
        <v>268</v>
      </c>
      <c r="B8" s="685" t="s">
        <v>269</v>
      </c>
      <c r="C8" s="697" t="e">
        <f>#REF!</f>
        <v>#REF!</v>
      </c>
      <c r="D8" s="304" t="e">
        <f>#REF!</f>
        <v>#REF!</v>
      </c>
      <c r="E8" s="299" t="e">
        <f>#REF!</f>
        <v>#REF!</v>
      </c>
      <c r="F8" s="299" t="e">
        <f t="shared" si="0"/>
        <v>#REF!</v>
      </c>
    </row>
    <row r="9" spans="1:72" ht="70.5" customHeight="1" x14ac:dyDescent="0.25">
      <c r="A9" s="283" t="s">
        <v>270</v>
      </c>
      <c r="B9" s="685" t="s">
        <v>271</v>
      </c>
      <c r="C9" s="714" t="e">
        <f>#REF!</f>
        <v>#REF!</v>
      </c>
      <c r="D9" s="715"/>
      <c r="E9" s="715"/>
      <c r="F9" s="330">
        <v>0</v>
      </c>
    </row>
    <row r="10" spans="1:72" ht="93.75" customHeight="1" x14ac:dyDescent="0.25">
      <c r="A10" s="283" t="s">
        <v>272</v>
      </c>
      <c r="B10" s="686" t="s">
        <v>273</v>
      </c>
      <c r="C10" s="697" t="e">
        <f>#REF!</f>
        <v>#REF!</v>
      </c>
      <c r="D10" s="304" t="e">
        <f>#REF!</f>
        <v>#REF!</v>
      </c>
      <c r="E10" s="299" t="e">
        <f>#REF!</f>
        <v>#REF!</v>
      </c>
      <c r="F10" s="299" t="e">
        <f t="shared" si="0"/>
        <v>#REF!</v>
      </c>
    </row>
    <row r="11" spans="1:72" ht="56.25" customHeight="1" x14ac:dyDescent="0.25">
      <c r="A11" s="283" t="s">
        <v>274</v>
      </c>
      <c r="B11" s="686" t="s">
        <v>359</v>
      </c>
      <c r="C11" s="697" t="e">
        <f>#REF!</f>
        <v>#REF!</v>
      </c>
      <c r="D11" s="304" t="e">
        <f>#REF!</f>
        <v>#REF!</v>
      </c>
      <c r="E11" s="299" t="e">
        <f>#REF!</f>
        <v>#REF!</v>
      </c>
      <c r="F11" s="299" t="e">
        <f t="shared" si="0"/>
        <v>#REF!</v>
      </c>
    </row>
    <row r="12" spans="1:72" ht="48.75" customHeight="1" x14ac:dyDescent="0.25">
      <c r="A12" s="283" t="s">
        <v>276</v>
      </c>
      <c r="B12" s="686" t="s">
        <v>360</v>
      </c>
      <c r="C12" s="697" t="e">
        <f>#REF!</f>
        <v>#REF!</v>
      </c>
      <c r="D12" s="304" t="e">
        <f>#REF!</f>
        <v>#REF!</v>
      </c>
      <c r="E12" s="299" t="e">
        <f>#REF!</f>
        <v>#REF!</v>
      </c>
      <c r="F12" s="299" t="e">
        <f t="shared" si="0"/>
        <v>#REF!</v>
      </c>
    </row>
    <row r="13" spans="1:72" ht="18" customHeight="1" x14ac:dyDescent="0.25">
      <c r="A13" s="920" t="s">
        <v>47</v>
      </c>
      <c r="B13" s="920"/>
      <c r="C13" s="698" t="e">
        <f>SUM(C7:C12)</f>
        <v>#REF!</v>
      </c>
      <c r="D13" s="595" t="e">
        <f>D7+D8+D10+D11+D12</f>
        <v>#REF!</v>
      </c>
      <c r="E13" s="595" t="e">
        <f>E7+E8+E10+E11+E12</f>
        <v>#REF!</v>
      </c>
      <c r="F13" s="595" t="e">
        <f>F7+F8+F10+F11+F12</f>
        <v>#REF!</v>
      </c>
    </row>
    <row r="14" spans="1:72" ht="33.75" customHeight="1" x14ac:dyDescent="0.25">
      <c r="A14" s="921" t="s">
        <v>353</v>
      </c>
      <c r="B14" s="921"/>
      <c r="C14" s="699"/>
      <c r="D14" s="319"/>
      <c r="E14" s="315"/>
      <c r="F14" s="315"/>
    </row>
    <row r="15" spans="1:72" ht="83.25" customHeight="1" x14ac:dyDescent="0.25">
      <c r="A15" s="283" t="s">
        <v>348</v>
      </c>
      <c r="B15" s="687" t="s">
        <v>361</v>
      </c>
      <c r="C15" s="697" t="e">
        <f>#REF!</f>
        <v>#REF!</v>
      </c>
      <c r="D15" s="304" t="e">
        <f>'Secretariat work plan 2014 '!#REF!</f>
        <v>#REF!</v>
      </c>
      <c r="E15" s="299" t="e">
        <f>'Secretariat work plan 2014 '!#REF!</f>
        <v>#REF!</v>
      </c>
      <c r="F15" s="299" t="e">
        <f>D15+E15</f>
        <v>#REF!</v>
      </c>
    </row>
    <row r="16" spans="1:72" ht="63" customHeight="1" x14ac:dyDescent="0.25">
      <c r="A16" s="326" t="s">
        <v>279</v>
      </c>
      <c r="B16" s="688" t="s">
        <v>280</v>
      </c>
      <c r="C16" s="697" t="e">
        <f>#REF!</f>
        <v>#REF!</v>
      </c>
      <c r="D16" s="304" t="e">
        <f>'Secretariat work plan 2014 '!#REF!-1</f>
        <v>#REF!</v>
      </c>
      <c r="E16" s="299" t="e">
        <f>'Secretariat work plan 2014 '!#REF!-1</f>
        <v>#REF!</v>
      </c>
      <c r="F16" s="299" t="e">
        <f>D16+E16</f>
        <v>#REF!</v>
      </c>
      <c r="G16" s="331"/>
    </row>
    <row r="17" spans="1:96" s="337" customFormat="1" ht="36.75" customHeight="1" x14ac:dyDescent="0.25">
      <c r="A17" s="922" t="s">
        <v>318</v>
      </c>
      <c r="B17" s="922"/>
      <c r="C17" s="700" t="e">
        <f>C16+C15</f>
        <v>#REF!</v>
      </c>
      <c r="D17" s="335" t="e">
        <f>D16+D15</f>
        <v>#REF!</v>
      </c>
      <c r="E17" s="333" t="e">
        <f>E16+E15</f>
        <v>#REF!</v>
      </c>
      <c r="F17" s="602" t="e">
        <f>D17+E17</f>
        <v>#REF!</v>
      </c>
      <c r="G17" s="702"/>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8"/>
      <c r="AX17" s="258"/>
      <c r="AY17" s="258"/>
      <c r="AZ17" s="258"/>
      <c r="BA17" s="258"/>
      <c r="BB17" s="258"/>
      <c r="BC17" s="258"/>
      <c r="BD17" s="258"/>
      <c r="BE17" s="258"/>
      <c r="BF17" s="258"/>
      <c r="BG17" s="258"/>
      <c r="BH17" s="258"/>
      <c r="BI17" s="258"/>
      <c r="BJ17" s="258"/>
      <c r="BK17" s="258"/>
      <c r="BL17" s="258"/>
      <c r="BM17" s="258"/>
      <c r="BN17" s="258"/>
      <c r="BO17" s="258"/>
      <c r="BP17" s="258"/>
      <c r="BQ17" s="258"/>
      <c r="BR17" s="258"/>
      <c r="BS17" s="258"/>
      <c r="BT17" s="258"/>
      <c r="BU17" s="258"/>
      <c r="BV17" s="258"/>
      <c r="BW17" s="258"/>
      <c r="BX17" s="258"/>
      <c r="BY17" s="258"/>
      <c r="BZ17" s="258"/>
      <c r="CA17" s="258"/>
      <c r="CB17" s="258"/>
      <c r="CC17" s="258"/>
      <c r="CD17" s="258"/>
      <c r="CE17" s="258"/>
      <c r="CF17" s="258"/>
      <c r="CG17" s="258"/>
      <c r="CH17" s="258"/>
      <c r="CI17" s="258"/>
      <c r="CJ17" s="258"/>
      <c r="CK17" s="258"/>
      <c r="CL17" s="258"/>
      <c r="CM17" s="258"/>
      <c r="CN17" s="258"/>
      <c r="CO17" s="258"/>
      <c r="CP17" s="258"/>
      <c r="CQ17" s="258"/>
      <c r="CR17" s="258"/>
    </row>
    <row r="18" spans="1:96" ht="21.75" customHeight="1" x14ac:dyDescent="0.25">
      <c r="A18" s="326"/>
      <c r="B18" s="689"/>
      <c r="C18" s="697"/>
      <c r="D18" s="304"/>
      <c r="E18" s="299"/>
      <c r="F18" s="299"/>
      <c r="G18" s="331"/>
    </row>
    <row r="19" spans="1:96" ht="33.75" customHeight="1" x14ac:dyDescent="0.25">
      <c r="A19" s="690" t="s">
        <v>362</v>
      </c>
      <c r="B19" s="690"/>
      <c r="C19" s="701" t="e">
        <f>C17+C13</f>
        <v>#REF!</v>
      </c>
      <c r="D19" s="694" t="e">
        <f>D17+D13</f>
        <v>#REF!</v>
      </c>
      <c r="E19" s="684" t="e">
        <f>E17+E13</f>
        <v>#REF!</v>
      </c>
      <c r="F19" s="684" t="e">
        <f>D19+E19</f>
        <v>#REF!</v>
      </c>
    </row>
    <row r="20" spans="1:96" x14ac:dyDescent="0.25">
      <c r="A20" s="345"/>
      <c r="B20" s="345"/>
      <c r="C20" s="345"/>
      <c r="D20" s="349"/>
      <c r="E20" s="346"/>
      <c r="F20" s="346"/>
    </row>
    <row r="21" spans="1:96" x14ac:dyDescent="0.25">
      <c r="C21" s="711"/>
    </row>
    <row r="23" spans="1:96" x14ac:dyDescent="0.25">
      <c r="A23" s="713" t="s">
        <v>368</v>
      </c>
      <c r="B23" s="611" t="e">
        <f>D19+E19</f>
        <v>#REF!</v>
      </c>
    </row>
    <row r="24" spans="1:96" x14ac:dyDescent="0.25">
      <c r="A24" s="712" t="s">
        <v>367</v>
      </c>
      <c r="B24" s="611"/>
    </row>
  </sheetData>
  <mergeCells count="5">
    <mergeCell ref="A13:B13"/>
    <mergeCell ref="A14:B14"/>
    <mergeCell ref="A17:B17"/>
    <mergeCell ref="F5:F6"/>
    <mergeCell ref="A4:F4"/>
  </mergeCells>
  <pageMargins left="0.43307086614173229" right="0.43307086614173229" top="0.74803149606299213" bottom="0.74803149606299213" header="0.31496062992125984" footer="0.31496062992125984"/>
  <pageSetup paperSize="9" scale="52" fitToHeight="2"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3:CV19"/>
  <sheetViews>
    <sheetView topLeftCell="A5" zoomScale="75" zoomScaleNormal="75" zoomScaleSheetLayoutView="75" workbookViewId="0">
      <selection activeCell="N11" sqref="N11"/>
    </sheetView>
  </sheetViews>
  <sheetFormatPr defaultColWidth="12.7109375" defaultRowHeight="15" x14ac:dyDescent="0.25"/>
  <cols>
    <col min="1" max="1" width="48.5703125" style="350" customWidth="1"/>
    <col min="2" max="2" width="13.7109375" style="261" customWidth="1"/>
    <col min="3" max="3" width="11.42578125" style="261" customWidth="1"/>
    <col min="4" max="4" width="12.85546875" style="261" customWidth="1"/>
    <col min="5" max="5" width="12.28515625" style="261" customWidth="1"/>
    <col min="6" max="6" width="15.42578125" style="261" customWidth="1"/>
    <col min="7" max="7" width="12.85546875" style="261" customWidth="1"/>
    <col min="8" max="8" width="12.7109375" style="261" customWidth="1"/>
    <col min="9" max="9" width="11.140625" style="261" customWidth="1"/>
    <col min="10" max="10" width="13" style="261" customWidth="1"/>
    <col min="11" max="11" width="9.7109375" style="261" bestFit="1" customWidth="1"/>
    <col min="12" max="246" width="9.140625" style="261" customWidth="1"/>
    <col min="247" max="247" width="15.5703125" style="261" customWidth="1"/>
    <col min="248" max="248" width="40" style="261" customWidth="1"/>
    <col min="249" max="252" width="12.7109375" style="261" customWidth="1"/>
    <col min="253" max="253" width="9.28515625" style="261" customWidth="1"/>
    <col min="254" max="257" width="12.7109375" style="261" customWidth="1"/>
    <col min="258" max="258" width="9.5703125" style="261" customWidth="1"/>
    <col min="259" max="16384" width="12.7109375" style="261"/>
  </cols>
  <sheetData>
    <row r="3" spans="1:100" ht="23.25" customHeight="1" x14ac:dyDescent="0.25">
      <c r="A3" s="926"/>
      <c r="B3" s="926"/>
      <c r="C3" s="926"/>
      <c r="D3" s="926"/>
      <c r="E3" s="926"/>
      <c r="F3" s="926"/>
      <c r="G3" s="926"/>
      <c r="H3" s="926"/>
      <c r="I3" s="926"/>
      <c r="J3" s="926"/>
    </row>
    <row r="4" spans="1:100" s="257" customFormat="1" ht="23.25" customHeight="1" x14ac:dyDescent="0.35">
      <c r="A4" s="925" t="s">
        <v>475</v>
      </c>
      <c r="B4" s="925"/>
      <c r="C4" s="925"/>
      <c r="D4" s="925"/>
      <c r="E4" s="925"/>
      <c r="F4" s="925"/>
      <c r="G4" s="925"/>
      <c r="H4" s="925"/>
      <c r="I4" s="925"/>
      <c r="J4" s="925"/>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8"/>
      <c r="BV4" s="258"/>
      <c r="BW4" s="258"/>
      <c r="BX4" s="258"/>
    </row>
    <row r="5" spans="1:100" ht="57.75" customHeight="1" x14ac:dyDescent="0.25">
      <c r="A5" s="769" t="s">
        <v>345</v>
      </c>
      <c r="B5" s="692" t="s">
        <v>463</v>
      </c>
      <c r="C5" s="692" t="s">
        <v>464</v>
      </c>
      <c r="D5" s="692" t="s">
        <v>465</v>
      </c>
      <c r="E5" s="768" t="s">
        <v>466</v>
      </c>
      <c r="F5" s="770" t="s">
        <v>467</v>
      </c>
      <c r="G5" s="767" t="s">
        <v>468</v>
      </c>
      <c r="H5" s="767" t="s">
        <v>469</v>
      </c>
      <c r="I5" s="771" t="s">
        <v>466</v>
      </c>
      <c r="J5" s="772" t="s">
        <v>474</v>
      </c>
    </row>
    <row r="6" spans="1:100" ht="42" customHeight="1" x14ac:dyDescent="0.25">
      <c r="A6" s="811" t="s">
        <v>311</v>
      </c>
      <c r="B6" s="812">
        <f>'[4] overview 2012-2014'!K10</f>
        <v>5342484.32</v>
      </c>
      <c r="C6" s="812">
        <v>0</v>
      </c>
      <c r="D6" s="812">
        <f t="shared" ref="D6:D12" si="0">B6+C6</f>
        <v>5342484.32</v>
      </c>
      <c r="E6" s="813">
        <v>0</v>
      </c>
      <c r="F6" s="814">
        <f>'[4] overview 2012-2014'!P10</f>
        <v>5728754.3200000003</v>
      </c>
      <c r="G6" s="815" t="e">
        <f>'Secretariat work plan 2014 '!#REF!</f>
        <v>#REF!</v>
      </c>
      <c r="H6" s="815" t="e">
        <f>F6+G6</f>
        <v>#REF!</v>
      </c>
      <c r="I6" s="816" t="e">
        <f>G6/F6</f>
        <v>#REF!</v>
      </c>
      <c r="J6" s="812" t="e">
        <f>H6+D6</f>
        <v>#REF!</v>
      </c>
    </row>
    <row r="7" spans="1:100" ht="57" customHeight="1" x14ac:dyDescent="0.25">
      <c r="A7" s="811" t="s">
        <v>470</v>
      </c>
      <c r="B7" s="812">
        <f>'[4] overview 2012-2014'!K11</f>
        <v>5977265.243999999</v>
      </c>
      <c r="C7" s="812">
        <v>0</v>
      </c>
      <c r="D7" s="812">
        <f t="shared" si="0"/>
        <v>5977265.243999999</v>
      </c>
      <c r="E7" s="813">
        <v>0</v>
      </c>
      <c r="F7" s="814">
        <f>'[4] overview 2012-2014'!P11</f>
        <v>6003815.1539999992</v>
      </c>
      <c r="G7" s="815" t="e">
        <f>'Secretariat work plan 2014 '!#REF!</f>
        <v>#REF!</v>
      </c>
      <c r="H7" s="815" t="e">
        <f t="shared" ref="H7:H11" si="1">F7+G7</f>
        <v>#REF!</v>
      </c>
      <c r="I7" s="816" t="e">
        <f t="shared" ref="I7:I11" si="2">G7/F7</f>
        <v>#REF!</v>
      </c>
      <c r="J7" s="812" t="e">
        <f t="shared" ref="J7:J11" si="3">H7+D7</f>
        <v>#REF!</v>
      </c>
    </row>
    <row r="8" spans="1:100" ht="52.5" customHeight="1" x14ac:dyDescent="0.25">
      <c r="A8" s="811" t="s">
        <v>460</v>
      </c>
      <c r="B8" s="817">
        <v>0</v>
      </c>
      <c r="C8" s="818">
        <f>B8</f>
        <v>0</v>
      </c>
      <c r="D8" s="812">
        <f t="shared" si="0"/>
        <v>0</v>
      </c>
      <c r="E8" s="819">
        <v>0</v>
      </c>
      <c r="F8" s="820">
        <v>0</v>
      </c>
      <c r="G8" s="817">
        <v>0</v>
      </c>
      <c r="H8" s="815">
        <f t="shared" si="1"/>
        <v>0</v>
      </c>
      <c r="I8" s="821">
        <v>0</v>
      </c>
      <c r="J8" s="812">
        <f t="shared" si="3"/>
        <v>0</v>
      </c>
    </row>
    <row r="9" spans="1:100" ht="92.25" customHeight="1" x14ac:dyDescent="0.25">
      <c r="A9" s="822" t="s">
        <v>313</v>
      </c>
      <c r="B9" s="812">
        <f>'[4] overview 2012-2014'!K13</f>
        <v>1620585.62</v>
      </c>
      <c r="C9" s="812">
        <f>4380000</f>
        <v>4380000</v>
      </c>
      <c r="D9" s="812">
        <f t="shared" si="0"/>
        <v>6000585.6200000001</v>
      </c>
      <c r="E9" s="813">
        <f>C9/B9</f>
        <v>2.7027266846906861</v>
      </c>
      <c r="F9" s="814">
        <f>'[4] overview 2012-2014'!P13</f>
        <v>1763965.62</v>
      </c>
      <c r="G9" s="815">
        <f>'[5]Consl work plan '!E201</f>
        <v>3696850</v>
      </c>
      <c r="H9" s="815">
        <f t="shared" si="1"/>
        <v>5460815.6200000001</v>
      </c>
      <c r="I9" s="816">
        <f t="shared" si="2"/>
        <v>2.0957608005988235</v>
      </c>
      <c r="J9" s="812">
        <f t="shared" si="3"/>
        <v>11461401.24</v>
      </c>
    </row>
    <row r="10" spans="1:100" ht="51" customHeight="1" x14ac:dyDescent="0.25">
      <c r="A10" s="822" t="s">
        <v>461</v>
      </c>
      <c r="B10" s="812">
        <f>'[4] overview 2012-2014'!K14</f>
        <v>4144885.3220000006</v>
      </c>
      <c r="C10" s="812">
        <v>0</v>
      </c>
      <c r="D10" s="812">
        <f t="shared" si="0"/>
        <v>4144885.3220000006</v>
      </c>
      <c r="E10" s="813">
        <v>0</v>
      </c>
      <c r="F10" s="814">
        <f>'[4] overview 2012-2014'!P14</f>
        <v>4152666.3619999997</v>
      </c>
      <c r="G10" s="815" t="e">
        <f>'Secretariat work plan 2014 '!#REF!</f>
        <v>#REF!</v>
      </c>
      <c r="H10" s="815" t="e">
        <f t="shared" si="1"/>
        <v>#REF!</v>
      </c>
      <c r="I10" s="816" t="e">
        <f t="shared" si="2"/>
        <v>#REF!</v>
      </c>
      <c r="J10" s="812" t="e">
        <f t="shared" si="3"/>
        <v>#REF!</v>
      </c>
    </row>
    <row r="11" spans="1:100" ht="46.5" customHeight="1" x14ac:dyDescent="0.25">
      <c r="A11" s="822" t="s">
        <v>462</v>
      </c>
      <c r="B11" s="812">
        <f>'[4] overview 2012-2014'!K15</f>
        <v>2543134.9120000005</v>
      </c>
      <c r="C11" s="812">
        <v>0</v>
      </c>
      <c r="D11" s="812">
        <f t="shared" si="0"/>
        <v>2543134.9120000005</v>
      </c>
      <c r="E11" s="813">
        <v>0</v>
      </c>
      <c r="F11" s="814">
        <f>'[4] overview 2012-2014'!P15</f>
        <v>2887638.5320000001</v>
      </c>
      <c r="G11" s="815" t="e">
        <f>'Secretariat work plan 2014 '!#REF!</f>
        <v>#REF!</v>
      </c>
      <c r="H11" s="815" t="e">
        <f t="shared" si="1"/>
        <v>#REF!</v>
      </c>
      <c r="I11" s="816" t="e">
        <f t="shared" si="2"/>
        <v>#REF!</v>
      </c>
      <c r="J11" s="812" t="e">
        <f t="shared" si="3"/>
        <v>#REF!</v>
      </c>
    </row>
    <row r="12" spans="1:100" ht="18" customHeight="1" x14ac:dyDescent="0.25">
      <c r="A12" s="823" t="s">
        <v>471</v>
      </c>
      <c r="B12" s="824">
        <f>B6+B7+B9+B10+B11</f>
        <v>19628355.418000001</v>
      </c>
      <c r="C12" s="824">
        <f>SUM(C6:C11)</f>
        <v>4380000</v>
      </c>
      <c r="D12" s="824">
        <f t="shared" si="0"/>
        <v>24008355.418000001</v>
      </c>
      <c r="E12" s="825">
        <f>C12/B12</f>
        <v>0.22314656051027901</v>
      </c>
      <c r="F12" s="826">
        <f>F6+F7+F9+F10+F11</f>
        <v>20536839.988000002</v>
      </c>
      <c r="G12" s="824" t="e">
        <f>SUM(G6:G11)</f>
        <v>#REF!</v>
      </c>
      <c r="H12" s="824" t="e">
        <f>F12+G12</f>
        <v>#REF!</v>
      </c>
      <c r="I12" s="825" t="e">
        <f>G12/F12</f>
        <v>#REF!</v>
      </c>
      <c r="J12" s="824" t="e">
        <f>J6+J7+J9+J10+J11</f>
        <v>#REF!</v>
      </c>
    </row>
    <row r="13" spans="1:100" ht="28.5" customHeight="1" x14ac:dyDescent="0.25">
      <c r="A13" s="823" t="s">
        <v>353</v>
      </c>
      <c r="B13" s="812"/>
      <c r="C13" s="812"/>
      <c r="D13" s="812"/>
      <c r="E13" s="827"/>
      <c r="F13" s="814"/>
      <c r="G13" s="815"/>
      <c r="H13" s="815"/>
      <c r="I13" s="821"/>
      <c r="J13" s="812"/>
    </row>
    <row r="14" spans="1:100" ht="53.25" customHeight="1" x14ac:dyDescent="0.25">
      <c r="A14" s="828" t="s">
        <v>472</v>
      </c>
      <c r="B14" s="812">
        <f>'[4]Consl worksheet'!E363</f>
        <v>1108094.7161185713</v>
      </c>
      <c r="C14" s="812">
        <v>0</v>
      </c>
      <c r="D14" s="812">
        <f>B14+C14</f>
        <v>1108094.7161185713</v>
      </c>
      <c r="E14" s="813">
        <v>0</v>
      </c>
      <c r="F14" s="814">
        <f>'[6]Summary 2013 -2014 Budget'!$D$15</f>
        <v>1028833.5489757144</v>
      </c>
      <c r="G14" s="815">
        <f>'[5]Consl work plan '!E287</f>
        <v>3397971.5054940004</v>
      </c>
      <c r="H14" s="815">
        <f>F14+G14</f>
        <v>4426805.0544697149</v>
      </c>
      <c r="I14" s="816">
        <f>G14/F14</f>
        <v>3.3027417397857519</v>
      </c>
      <c r="J14" s="812">
        <f>H14+D14</f>
        <v>5534899.7705882862</v>
      </c>
    </row>
    <row r="15" spans="1:100" ht="47.25" customHeight="1" x14ac:dyDescent="0.25">
      <c r="A15" s="838" t="s">
        <v>316</v>
      </c>
      <c r="B15" s="812">
        <f>'[4]Consl worksheet'!E463-1</f>
        <v>2689642.8718814286</v>
      </c>
      <c r="C15" s="812">
        <v>0</v>
      </c>
      <c r="D15" s="812">
        <f>B15+C15</f>
        <v>2689642.8718814286</v>
      </c>
      <c r="E15" s="813">
        <v>0</v>
      </c>
      <c r="F15" s="814">
        <f>'[6]Summary 2013 -2014 Budget'!$D$16</f>
        <v>2587000.2940242859</v>
      </c>
      <c r="G15" s="815" t="e">
        <f>'Secretariat work plan 2014 '!E149</f>
        <v>#REF!</v>
      </c>
      <c r="H15" s="815" t="e">
        <f>F15+G15</f>
        <v>#REF!</v>
      </c>
      <c r="I15" s="816" t="e">
        <f>G15/F15</f>
        <v>#REF!</v>
      </c>
      <c r="J15" s="812" t="e">
        <f>H15+D15</f>
        <v>#REF!</v>
      </c>
      <c r="K15" s="331"/>
    </row>
    <row r="16" spans="1:100" s="337" customFormat="1" ht="21" customHeight="1" x14ac:dyDescent="0.25">
      <c r="A16" s="829" t="s">
        <v>473</v>
      </c>
      <c r="B16" s="817">
        <f>B15+B14</f>
        <v>3797737.588</v>
      </c>
      <c r="C16" s="817">
        <f>SUM(C14:C15)</f>
        <v>0</v>
      </c>
      <c r="D16" s="830">
        <f>B16+C16</f>
        <v>3797737.588</v>
      </c>
      <c r="E16" s="831">
        <v>0</v>
      </c>
      <c r="F16" s="820">
        <f>F15+F14</f>
        <v>3615833.8430000003</v>
      </c>
      <c r="G16" s="820" t="e">
        <f>G15+G14</f>
        <v>#REF!</v>
      </c>
      <c r="H16" s="818" t="e">
        <f>H15+H14</f>
        <v>#REF!</v>
      </c>
      <c r="I16" s="819" t="e">
        <f>G16/F16</f>
        <v>#REF!</v>
      </c>
      <c r="J16" s="830" t="e">
        <f>D16+H16</f>
        <v>#REF!</v>
      </c>
      <c r="K16" s="702"/>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c r="AW16" s="258"/>
      <c r="AX16" s="258"/>
      <c r="AY16" s="258"/>
      <c r="AZ16" s="258"/>
      <c r="BA16" s="258"/>
      <c r="BB16" s="258"/>
      <c r="BC16" s="258"/>
      <c r="BD16" s="258"/>
      <c r="BE16" s="258"/>
      <c r="BF16" s="258"/>
      <c r="BG16" s="258"/>
      <c r="BH16" s="258"/>
      <c r="BI16" s="258"/>
      <c r="BJ16" s="258"/>
      <c r="BK16" s="258"/>
      <c r="BL16" s="258"/>
      <c r="BM16" s="258"/>
      <c r="BN16" s="258"/>
      <c r="BO16" s="258"/>
      <c r="BP16" s="258"/>
      <c r="BQ16" s="258"/>
      <c r="BR16" s="258"/>
      <c r="BS16" s="258"/>
      <c r="BT16" s="258"/>
      <c r="BU16" s="258"/>
      <c r="BV16" s="258"/>
      <c r="BW16" s="258"/>
      <c r="BX16" s="258"/>
      <c r="BY16" s="258"/>
      <c r="BZ16" s="258"/>
      <c r="CA16" s="258"/>
      <c r="CB16" s="258"/>
      <c r="CC16" s="258"/>
      <c r="CD16" s="258"/>
      <c r="CE16" s="258"/>
      <c r="CF16" s="258"/>
      <c r="CG16" s="258"/>
      <c r="CH16" s="258"/>
      <c r="CI16" s="258"/>
      <c r="CJ16" s="258"/>
      <c r="CK16" s="258"/>
      <c r="CL16" s="258"/>
      <c r="CM16" s="258"/>
      <c r="CN16" s="258"/>
      <c r="CO16" s="258"/>
      <c r="CP16" s="258"/>
      <c r="CQ16" s="258"/>
      <c r="CR16" s="258"/>
      <c r="CS16" s="258"/>
      <c r="CT16" s="258"/>
      <c r="CU16" s="258"/>
      <c r="CV16" s="258"/>
    </row>
    <row r="17" spans="1:11" ht="21.75" customHeight="1" x14ac:dyDescent="0.25">
      <c r="A17" s="832"/>
      <c r="B17" s="812"/>
      <c r="C17" s="812"/>
      <c r="D17" s="812"/>
      <c r="E17" s="827"/>
      <c r="F17" s="814"/>
      <c r="G17" s="815"/>
      <c r="H17" s="815"/>
      <c r="I17" s="821"/>
      <c r="J17" s="812"/>
      <c r="K17" s="331"/>
    </row>
    <row r="18" spans="1:11" ht="15.75" customHeight="1" x14ac:dyDescent="0.25">
      <c r="A18" s="833"/>
      <c r="B18" s="834">
        <f>B16+B12</f>
        <v>23426093.006000001</v>
      </c>
      <c r="C18" s="834">
        <f>C16+C12</f>
        <v>4380000</v>
      </c>
      <c r="D18" s="834">
        <f>B18+C18</f>
        <v>27806093.006000001</v>
      </c>
      <c r="E18" s="835">
        <f>C18/B18</f>
        <v>0.18697099848780477</v>
      </c>
      <c r="F18" s="836">
        <f>F16+F12</f>
        <v>24152673.831</v>
      </c>
      <c r="G18" s="837" t="e">
        <f>G16+G12</f>
        <v>#REF!</v>
      </c>
      <c r="H18" s="837" t="e">
        <f>H16+H12</f>
        <v>#REF!</v>
      </c>
      <c r="I18" s="819" t="e">
        <f>G18/F18</f>
        <v>#REF!</v>
      </c>
      <c r="J18" s="834" t="e">
        <f>H18+D18</f>
        <v>#REF!</v>
      </c>
    </row>
    <row r="19" spans="1:11" ht="23.25" customHeight="1" x14ac:dyDescent="0.25">
      <c r="A19" s="927"/>
      <c r="B19" s="928"/>
      <c r="C19" s="928"/>
      <c r="D19" s="928"/>
      <c r="E19" s="928"/>
      <c r="F19" s="928"/>
      <c r="G19" s="928"/>
      <c r="H19" s="928"/>
      <c r="I19" s="928"/>
      <c r="J19" s="928"/>
    </row>
  </sheetData>
  <mergeCells count="3">
    <mergeCell ref="A3:J3"/>
    <mergeCell ref="A4:J4"/>
    <mergeCell ref="A19:J19"/>
  </mergeCells>
  <pageMargins left="0.43307086614173229" right="0.43307086614173229" top="0.74803149606299213" bottom="0.74803149606299213" header="0.31496062992125984" footer="0.31496062992125984"/>
  <pageSetup paperSize="9" scale="75" fitToHeight="2"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3:CQ25"/>
  <sheetViews>
    <sheetView topLeftCell="A7" zoomScale="75" zoomScaleNormal="75" zoomScaleSheetLayoutView="75" workbookViewId="0">
      <selection activeCell="J19" sqref="J19"/>
    </sheetView>
  </sheetViews>
  <sheetFormatPr defaultColWidth="12.7109375" defaultRowHeight="15" x14ac:dyDescent="0.25"/>
  <cols>
    <col min="1" max="1" width="60.85546875" style="350" customWidth="1"/>
    <col min="2" max="2" width="17.42578125" style="261" customWidth="1"/>
    <col min="3" max="3" width="17.140625" style="261" customWidth="1"/>
    <col min="4" max="4" width="14.7109375" style="261" customWidth="1"/>
    <col min="5" max="5" width="15.85546875" style="261" customWidth="1"/>
    <col min="6" max="6" width="9.7109375" style="261" bestFit="1" customWidth="1"/>
    <col min="7" max="241" width="9.140625" style="261" customWidth="1"/>
    <col min="242" max="242" width="15.5703125" style="261" customWidth="1"/>
    <col min="243" max="243" width="40" style="261" customWidth="1"/>
    <col min="244" max="247" width="12.7109375" style="261" customWidth="1"/>
    <col min="248" max="248" width="9.28515625" style="261" customWidth="1"/>
    <col min="249" max="252" width="12.7109375" style="261" customWidth="1"/>
    <col min="253" max="253" width="9.5703125" style="261" customWidth="1"/>
    <col min="254" max="16384" width="12.7109375" style="261"/>
  </cols>
  <sheetData>
    <row r="3" spans="1:95" ht="23.25" customHeight="1" x14ac:dyDescent="0.25">
      <c r="A3" s="926"/>
      <c r="B3" s="926"/>
      <c r="C3" s="926"/>
      <c r="D3" s="926"/>
      <c r="E3" s="926"/>
    </row>
    <row r="4" spans="1:95" s="257" customFormat="1" ht="23.25" customHeight="1" x14ac:dyDescent="0.35">
      <c r="A4" s="925" t="s">
        <v>535</v>
      </c>
      <c r="B4" s="925"/>
      <c r="C4" s="925"/>
      <c r="D4" s="925"/>
      <c r="E4" s="925"/>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row>
    <row r="5" spans="1:95" ht="57.75" customHeight="1" x14ac:dyDescent="0.25">
      <c r="A5" s="262" t="s">
        <v>345</v>
      </c>
      <c r="B5" s="692" t="s">
        <v>100</v>
      </c>
      <c r="C5" s="692" t="s">
        <v>50</v>
      </c>
      <c r="D5" s="692" t="s">
        <v>111</v>
      </c>
      <c r="E5" s="790" t="s">
        <v>425</v>
      </c>
    </row>
    <row r="6" spans="1:95" ht="54.75" customHeight="1" x14ac:dyDescent="0.25">
      <c r="A6" s="685" t="s">
        <v>311</v>
      </c>
      <c r="B6" s="304" t="e">
        <f>#REF!</f>
        <v>#REF!</v>
      </c>
      <c r="C6" s="304">
        <v>0</v>
      </c>
      <c r="D6" s="304"/>
      <c r="E6" s="801" t="e">
        <f>SUM(B6:D6)</f>
        <v>#REF!</v>
      </c>
    </row>
    <row r="7" spans="1:95" ht="51" customHeight="1" x14ac:dyDescent="0.25">
      <c r="A7" s="685" t="s">
        <v>470</v>
      </c>
      <c r="B7" s="304" t="e">
        <f>#REF!</f>
        <v>#REF!</v>
      </c>
      <c r="C7" s="304" t="e">
        <f>#REF!</f>
        <v>#REF!</v>
      </c>
      <c r="D7" s="304" t="e">
        <f>#REF!</f>
        <v>#REF!</v>
      </c>
      <c r="E7" s="801" t="e">
        <f t="shared" ref="E7:E11" si="0">SUM(B7:D7)</f>
        <v>#REF!</v>
      </c>
    </row>
    <row r="8" spans="1:95" ht="58.5" customHeight="1" x14ac:dyDescent="0.25">
      <c r="A8" s="685" t="s">
        <v>460</v>
      </c>
      <c r="B8" s="773"/>
      <c r="C8" s="715"/>
      <c r="D8" s="304"/>
      <c r="E8" s="801">
        <f t="shared" si="0"/>
        <v>0</v>
      </c>
    </row>
    <row r="9" spans="1:95" ht="75.75" customHeight="1" x14ac:dyDescent="0.25">
      <c r="A9" s="686" t="s">
        <v>313</v>
      </c>
      <c r="B9" s="304"/>
      <c r="C9" s="304" t="e">
        <f>#REF!</f>
        <v>#REF!</v>
      </c>
      <c r="D9" s="304" t="e">
        <f>#REF!</f>
        <v>#REF!</v>
      </c>
      <c r="E9" s="801" t="e">
        <f t="shared" si="0"/>
        <v>#REF!</v>
      </c>
    </row>
    <row r="10" spans="1:95" ht="51" customHeight="1" x14ac:dyDescent="0.25">
      <c r="A10" s="686" t="s">
        <v>461</v>
      </c>
      <c r="B10" s="304" t="e">
        <f>#REF!</f>
        <v>#REF!</v>
      </c>
      <c r="C10" s="304" t="e">
        <f>#REF!</f>
        <v>#REF!</v>
      </c>
      <c r="D10" s="304" t="e">
        <f>#REF!</f>
        <v>#REF!</v>
      </c>
      <c r="E10" s="801" t="e">
        <f t="shared" si="0"/>
        <v>#REF!</v>
      </c>
    </row>
    <row r="11" spans="1:95" ht="39.75" customHeight="1" x14ac:dyDescent="0.25">
      <c r="A11" s="686" t="s">
        <v>462</v>
      </c>
      <c r="B11" s="304"/>
      <c r="C11" s="304" t="e">
        <f>#REF!</f>
        <v>#REF!</v>
      </c>
      <c r="D11" s="304" t="e">
        <f>#REF!</f>
        <v>#REF!</v>
      </c>
      <c r="E11" s="801" t="e">
        <f t="shared" si="0"/>
        <v>#REF!</v>
      </c>
    </row>
    <row r="12" spans="1:95" ht="54.75" customHeight="1" x14ac:dyDescent="0.25">
      <c r="A12" s="687" t="s">
        <v>472</v>
      </c>
      <c r="B12" s="304" t="e">
        <f>#REF!</f>
        <v>#REF!</v>
      </c>
      <c r="C12" s="304" t="e">
        <f>(#REF!+#REF!)</f>
        <v>#REF!</v>
      </c>
      <c r="D12" s="304" t="e">
        <f>#REF!</f>
        <v>#REF!</v>
      </c>
      <c r="E12" s="801" t="e">
        <f>SUM(B12:D12)</f>
        <v>#REF!</v>
      </c>
    </row>
    <row r="13" spans="1:95" ht="57" customHeight="1" x14ac:dyDescent="0.25">
      <c r="A13" s="802" t="s">
        <v>316</v>
      </c>
      <c r="B13" s="304" t="e">
        <f>(#REF!+#REF!+#REF!)</f>
        <v>#REF!</v>
      </c>
      <c r="C13" s="304" t="e">
        <f>#REF!</f>
        <v>#REF!</v>
      </c>
      <c r="D13" s="304" t="e">
        <f>#REF!</f>
        <v>#REF!</v>
      </c>
      <c r="E13" s="801" t="e">
        <f>SUM(B13:D13)</f>
        <v>#REF!</v>
      </c>
      <c r="F13" s="331"/>
    </row>
    <row r="14" spans="1:95" s="337" customFormat="1" ht="21" customHeight="1" x14ac:dyDescent="0.25">
      <c r="A14" s="789" t="s">
        <v>197</v>
      </c>
      <c r="B14" s="335" t="e">
        <f>SUM(B6:B13)</f>
        <v>#REF!</v>
      </c>
      <c r="C14" s="335" t="e">
        <f t="shared" ref="C14:E14" si="1">SUM(C6:C13)</f>
        <v>#REF!</v>
      </c>
      <c r="D14" s="335" t="e">
        <f t="shared" si="1"/>
        <v>#REF!</v>
      </c>
      <c r="E14" s="335" t="e">
        <f t="shared" si="1"/>
        <v>#REF!</v>
      </c>
      <c r="F14" s="702"/>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AW14" s="258"/>
      <c r="AX14" s="258"/>
      <c r="AY14" s="258"/>
      <c r="AZ14" s="258"/>
      <c r="BA14" s="258"/>
      <c r="BB14" s="258"/>
      <c r="BC14" s="258"/>
      <c r="BD14" s="258"/>
      <c r="BE14" s="258"/>
      <c r="BF14" s="258"/>
      <c r="BG14" s="258"/>
      <c r="BH14" s="258"/>
      <c r="BI14" s="258"/>
      <c r="BJ14" s="258"/>
      <c r="BK14" s="258"/>
      <c r="BL14" s="258"/>
      <c r="BM14" s="258"/>
      <c r="BN14" s="258"/>
      <c r="BO14" s="258"/>
      <c r="BP14" s="258"/>
      <c r="BQ14" s="258"/>
      <c r="BR14" s="258"/>
      <c r="BS14" s="258"/>
      <c r="BT14" s="258"/>
      <c r="BU14" s="258"/>
      <c r="BV14" s="258"/>
      <c r="BW14" s="258"/>
      <c r="BX14" s="258"/>
      <c r="BY14" s="258"/>
      <c r="BZ14" s="258"/>
      <c r="CA14" s="258"/>
      <c r="CB14" s="258"/>
      <c r="CC14" s="258"/>
      <c r="CD14" s="258"/>
      <c r="CE14" s="258"/>
      <c r="CF14" s="258"/>
      <c r="CG14" s="258"/>
      <c r="CH14" s="258"/>
      <c r="CI14" s="258"/>
      <c r="CJ14" s="258"/>
      <c r="CK14" s="258"/>
      <c r="CL14" s="258"/>
      <c r="CM14" s="258"/>
      <c r="CN14" s="258"/>
      <c r="CO14" s="258"/>
      <c r="CP14" s="258"/>
      <c r="CQ14" s="258"/>
    </row>
    <row r="15" spans="1:95" ht="0.75" customHeight="1" x14ac:dyDescent="0.25">
      <c r="A15" s="803" t="s">
        <v>533</v>
      </c>
      <c r="B15" s="304" t="e">
        <f>0.07*B14</f>
        <v>#REF!</v>
      </c>
      <c r="C15" s="304" t="e">
        <f t="shared" ref="C15:E15" si="2">0.07*C14</f>
        <v>#REF!</v>
      </c>
      <c r="D15" s="304" t="e">
        <f t="shared" si="2"/>
        <v>#REF!</v>
      </c>
      <c r="E15" s="304" t="e">
        <f t="shared" si="2"/>
        <v>#REF!</v>
      </c>
      <c r="F15" s="331"/>
    </row>
    <row r="16" spans="1:95" ht="15.75" hidden="1" customHeight="1" x14ac:dyDescent="0.25">
      <c r="A16" s="774" t="s">
        <v>104</v>
      </c>
      <c r="B16" s="694" t="e">
        <f>SUM(B14:B15)</f>
        <v>#REF!</v>
      </c>
      <c r="C16" s="694" t="e">
        <f t="shared" ref="C16:E16" si="3">SUM(C14:C15)</f>
        <v>#REF!</v>
      </c>
      <c r="D16" s="694" t="e">
        <f t="shared" si="3"/>
        <v>#REF!</v>
      </c>
      <c r="E16" s="694" t="e">
        <f t="shared" si="3"/>
        <v>#REF!</v>
      </c>
    </row>
    <row r="17" spans="1:5" ht="23.25" customHeight="1" x14ac:dyDescent="0.25">
      <c r="A17" s="927"/>
      <c r="B17" s="928"/>
      <c r="C17" s="928"/>
      <c r="D17" s="928"/>
      <c r="E17" s="928"/>
    </row>
    <row r="18" spans="1:5" x14ac:dyDescent="0.25">
      <c r="D18" s="351"/>
    </row>
    <row r="20" spans="1:5" ht="2.25" customHeight="1" x14ac:dyDescent="0.25">
      <c r="B20" s="804">
        <v>19995981</v>
      </c>
    </row>
    <row r="21" spans="1:5" hidden="1" x14ac:dyDescent="0.25">
      <c r="B21" s="804">
        <v>1440565</v>
      </c>
    </row>
    <row r="22" spans="1:5" hidden="1" x14ac:dyDescent="0.25">
      <c r="B22" s="804">
        <v>47578767</v>
      </c>
    </row>
    <row r="23" spans="1:5" hidden="1" x14ac:dyDescent="0.25">
      <c r="B23" s="804">
        <v>4380000</v>
      </c>
    </row>
    <row r="24" spans="1:5" hidden="1" x14ac:dyDescent="0.25">
      <c r="B24" s="804">
        <v>24725978</v>
      </c>
    </row>
    <row r="25" spans="1:5" hidden="1" x14ac:dyDescent="0.25">
      <c r="B25" s="804">
        <f>SUM(B20:B24)</f>
        <v>98121291</v>
      </c>
    </row>
  </sheetData>
  <mergeCells count="3">
    <mergeCell ref="A3:E3"/>
    <mergeCell ref="A4:E4"/>
    <mergeCell ref="A17:E17"/>
  </mergeCells>
  <pageMargins left="0.43307086614173229" right="0.43307086614173229" top="0.74803149606299213" bottom="0.74803149606299213" header="0.31496062992125984" footer="0.31496062992125984"/>
  <pageSetup paperSize="9" scale="75" fitToHeight="2"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H192"/>
  <sheetViews>
    <sheetView tabSelected="1" view="pageBreakPreview" zoomScale="75" zoomScaleNormal="70" zoomScaleSheetLayoutView="75" workbookViewId="0">
      <selection activeCell="A162" sqref="A162"/>
    </sheetView>
  </sheetViews>
  <sheetFormatPr defaultColWidth="23.7109375" defaultRowHeight="18.75" x14ac:dyDescent="0.25"/>
  <cols>
    <col min="1" max="1" width="25.5703125" style="139" customWidth="1"/>
    <col min="2" max="2" width="84" style="139" customWidth="1"/>
    <col min="3" max="3" width="14" style="139" hidden="1" customWidth="1"/>
    <col min="4" max="4" width="28.5703125" style="84" hidden="1" customWidth="1"/>
    <col min="5" max="5" width="13.5703125" style="84" hidden="1" customWidth="1"/>
    <col min="6" max="6" width="23.7109375" style="84" hidden="1" customWidth="1"/>
    <col min="7" max="7" width="124" style="870" customWidth="1"/>
    <col min="8" max="8" width="92.85546875" style="84" customWidth="1"/>
    <col min="9" max="16384" width="23.7109375" style="84"/>
  </cols>
  <sheetData>
    <row r="1" spans="1:8" ht="35.25" customHeight="1" x14ac:dyDescent="0.25">
      <c r="A1" s="964" t="s">
        <v>557</v>
      </c>
      <c r="B1" s="964"/>
      <c r="C1" s="964"/>
      <c r="D1" s="964"/>
      <c r="E1" s="964"/>
      <c r="G1" s="929"/>
    </row>
    <row r="2" spans="1:8" s="759" customFormat="1" ht="28.5" customHeight="1" x14ac:dyDescent="0.25">
      <c r="A2" s="960" t="s">
        <v>321</v>
      </c>
      <c r="B2" s="960"/>
      <c r="C2" s="960"/>
      <c r="D2" s="960"/>
      <c r="E2" s="960"/>
      <c r="F2" s="761"/>
      <c r="G2" s="930"/>
    </row>
    <row r="3" spans="1:8" ht="42.75" customHeight="1" x14ac:dyDescent="0.25">
      <c r="A3" s="971" t="s">
        <v>45</v>
      </c>
      <c r="B3" s="971"/>
      <c r="C3" s="970" t="s">
        <v>24</v>
      </c>
      <c r="D3" s="963" t="s">
        <v>365</v>
      </c>
      <c r="E3" s="963"/>
      <c r="F3" s="223"/>
      <c r="G3" s="931" t="s">
        <v>553</v>
      </c>
    </row>
    <row r="4" spans="1:8" ht="15.75" x14ac:dyDescent="0.25">
      <c r="A4" s="30" t="s">
        <v>21</v>
      </c>
      <c r="B4" s="30" t="s">
        <v>20</v>
      </c>
      <c r="C4" s="970"/>
      <c r="D4" s="224" t="s">
        <v>15</v>
      </c>
      <c r="E4" s="27" t="s">
        <v>286</v>
      </c>
      <c r="G4" s="932"/>
    </row>
    <row r="5" spans="1:8" ht="36.75" customHeight="1" x14ac:dyDescent="0.25">
      <c r="A5" s="974" t="s">
        <v>452</v>
      </c>
      <c r="B5" s="682" t="s">
        <v>478</v>
      </c>
      <c r="C5" s="979" t="s">
        <v>432</v>
      </c>
      <c r="D5" s="849" t="s">
        <v>222</v>
      </c>
      <c r="E5" s="704" t="e">
        <f>#REF!</f>
        <v>#REF!</v>
      </c>
      <c r="G5" s="990" t="s">
        <v>559</v>
      </c>
      <c r="H5" s="857"/>
    </row>
    <row r="6" spans="1:8" ht="18" customHeight="1" x14ac:dyDescent="0.25">
      <c r="A6" s="975"/>
      <c r="B6" s="682" t="s">
        <v>479</v>
      </c>
      <c r="C6" s="980"/>
      <c r="D6" s="651" t="s">
        <v>11</v>
      </c>
      <c r="E6" s="704" t="e">
        <f>#REF!</f>
        <v>#REF!</v>
      </c>
      <c r="G6" s="990"/>
      <c r="H6" s="857"/>
    </row>
    <row r="7" spans="1:8" ht="38.25" customHeight="1" x14ac:dyDescent="0.25">
      <c r="A7" s="975"/>
      <c r="B7" s="682" t="s">
        <v>528</v>
      </c>
      <c r="C7" s="980"/>
      <c r="D7" s="649" t="s">
        <v>10</v>
      </c>
      <c r="E7" s="704" t="e">
        <f>#REF!</f>
        <v>#REF!</v>
      </c>
      <c r="G7" s="990"/>
      <c r="H7" s="857"/>
    </row>
    <row r="8" spans="1:8" ht="21.75" customHeight="1" x14ac:dyDescent="0.25">
      <c r="A8" s="975"/>
      <c r="B8" s="682" t="s">
        <v>480</v>
      </c>
      <c r="C8" s="980"/>
      <c r="D8" s="647" t="s">
        <v>7</v>
      </c>
      <c r="E8" s="704" t="e">
        <f>#REF!</f>
        <v>#REF!</v>
      </c>
      <c r="G8" s="990"/>
      <c r="H8" s="857"/>
    </row>
    <row r="9" spans="1:8" ht="36" customHeight="1" x14ac:dyDescent="0.25">
      <c r="A9" s="975"/>
      <c r="B9" s="52" t="s">
        <v>530</v>
      </c>
      <c r="C9" s="980"/>
      <c r="D9" s="647"/>
      <c r="E9" s="704"/>
      <c r="G9" s="990"/>
      <c r="H9" s="857"/>
    </row>
    <row r="10" spans="1:8" ht="37.5" customHeight="1" x14ac:dyDescent="0.25">
      <c r="A10" s="975"/>
      <c r="B10" s="52" t="s">
        <v>529</v>
      </c>
      <c r="C10" s="980"/>
      <c r="D10" s="647"/>
      <c r="E10" s="704"/>
      <c r="G10" s="990"/>
    </row>
    <row r="11" spans="1:8" ht="21" customHeight="1" x14ac:dyDescent="0.25">
      <c r="A11" s="976"/>
      <c r="B11" s="785" t="s">
        <v>481</v>
      </c>
      <c r="C11" s="980"/>
      <c r="D11" s="647"/>
      <c r="E11" s="704"/>
      <c r="G11" s="990"/>
    </row>
    <row r="12" spans="1:8" hidden="1" x14ac:dyDescent="0.25">
      <c r="A12" s="20" t="s">
        <v>6</v>
      </c>
      <c r="B12" s="50"/>
      <c r="C12" s="981"/>
      <c r="D12" s="681">
        <f>SUM(D5:D8)</f>
        <v>0</v>
      </c>
      <c r="E12" s="681" t="e">
        <f>SUM(E5:E8)</f>
        <v>#REF!</v>
      </c>
    </row>
    <row r="13" spans="1:8" hidden="1" x14ac:dyDescent="0.25">
      <c r="A13" s="20" t="s">
        <v>5</v>
      </c>
      <c r="B13" s="19"/>
      <c r="C13" s="231"/>
      <c r="D13" s="253">
        <f>0.07*D12</f>
        <v>0</v>
      </c>
      <c r="E13" s="253" t="e">
        <f>0.07*E12</f>
        <v>#REF!</v>
      </c>
    </row>
    <row r="14" spans="1:8" hidden="1" x14ac:dyDescent="0.25">
      <c r="A14" s="15" t="s">
        <v>4</v>
      </c>
      <c r="B14" s="14"/>
      <c r="C14" s="14"/>
      <c r="D14" s="250">
        <f>SUM(D12:D13)</f>
        <v>0</v>
      </c>
      <c r="E14" s="250" t="e">
        <f>SUM(E12:E13)</f>
        <v>#REF!</v>
      </c>
    </row>
    <row r="15" spans="1:8" ht="37.5" hidden="1" customHeight="1" x14ac:dyDescent="0.25">
      <c r="A15" s="945" t="s">
        <v>3</v>
      </c>
      <c r="B15" s="946"/>
      <c r="C15" s="947"/>
      <c r="D15" s="13"/>
      <c r="E15" s="217"/>
    </row>
    <row r="16" spans="1:8" hidden="1" x14ac:dyDescent="0.25">
      <c r="A16" s="716" t="s">
        <v>2</v>
      </c>
      <c r="B16" s="220"/>
      <c r="C16" s="221"/>
      <c r="D16" s="13"/>
      <c r="E16" s="218"/>
    </row>
    <row r="17" spans="1:7" hidden="1" x14ac:dyDescent="0.25">
      <c r="A17" s="716" t="s">
        <v>346</v>
      </c>
      <c r="B17" s="220"/>
      <c r="C17" s="221"/>
      <c r="D17" s="13"/>
      <c r="E17" s="219">
        <v>0</v>
      </c>
    </row>
    <row r="18" spans="1:7" hidden="1" x14ac:dyDescent="0.25">
      <c r="A18" s="118" t="s">
        <v>1</v>
      </c>
      <c r="B18" s="220"/>
      <c r="C18" s="221"/>
      <c r="D18" s="13"/>
      <c r="E18" s="219">
        <v>1</v>
      </c>
    </row>
    <row r="19" spans="1:7" ht="52.5" customHeight="1" x14ac:dyDescent="0.25">
      <c r="A19" s="977" t="s">
        <v>366</v>
      </c>
      <c r="B19" s="841" t="s">
        <v>482</v>
      </c>
      <c r="C19" s="979" t="s">
        <v>431</v>
      </c>
      <c r="D19" s="849" t="s">
        <v>222</v>
      </c>
      <c r="E19" s="255" t="e">
        <f>#REF!+#REF!</f>
        <v>#REF!</v>
      </c>
      <c r="G19" s="987" t="s">
        <v>560</v>
      </c>
    </row>
    <row r="20" spans="1:7" ht="71.25" customHeight="1" x14ac:dyDescent="0.25">
      <c r="A20" s="978"/>
      <c r="B20" s="784" t="s">
        <v>483</v>
      </c>
      <c r="C20" s="980"/>
      <c r="D20" s="651" t="s">
        <v>12</v>
      </c>
      <c r="E20" s="255" t="e">
        <f>#REF!</f>
        <v>#REF!</v>
      </c>
      <c r="G20" s="988"/>
    </row>
    <row r="21" spans="1:7" ht="53.25" customHeight="1" x14ac:dyDescent="0.25">
      <c r="A21" s="978"/>
      <c r="B21" s="784" t="s">
        <v>484</v>
      </c>
      <c r="C21" s="980"/>
      <c r="D21" s="651" t="s">
        <v>11</v>
      </c>
      <c r="E21" s="255" t="e">
        <f>#REF!</f>
        <v>#REF!</v>
      </c>
      <c r="G21" s="988"/>
    </row>
    <row r="22" spans="1:7" ht="36" customHeight="1" x14ac:dyDescent="0.25">
      <c r="A22" s="978"/>
      <c r="B22" s="784" t="s">
        <v>531</v>
      </c>
      <c r="C22" s="980"/>
      <c r="D22" s="649" t="s">
        <v>10</v>
      </c>
      <c r="E22" s="255" t="e">
        <f>#REF!</f>
        <v>#REF!</v>
      </c>
      <c r="G22" s="988"/>
    </row>
    <row r="23" spans="1:7" ht="21" customHeight="1" x14ac:dyDescent="0.25">
      <c r="A23" s="978"/>
      <c r="B23" s="784" t="s">
        <v>485</v>
      </c>
      <c r="C23" s="980"/>
      <c r="D23" s="649" t="s">
        <v>9</v>
      </c>
      <c r="E23" s="255" t="e">
        <f>#REF!</f>
        <v>#REF!</v>
      </c>
      <c r="G23" s="988"/>
    </row>
    <row r="24" spans="1:7" ht="33.75" customHeight="1" x14ac:dyDescent="0.25">
      <c r="A24" s="961"/>
      <c r="B24" s="866" t="s">
        <v>486</v>
      </c>
      <c r="C24" s="980"/>
      <c r="D24" s="650" t="s">
        <v>8</v>
      </c>
      <c r="E24" s="255" t="e">
        <f>#REF!</f>
        <v>#REF!</v>
      </c>
      <c r="G24" s="988"/>
    </row>
    <row r="25" spans="1:7" ht="69" customHeight="1" x14ac:dyDescent="0.25">
      <c r="A25" s="961"/>
      <c r="B25" s="884" t="s">
        <v>487</v>
      </c>
      <c r="C25" s="981"/>
      <c r="D25" s="647" t="s">
        <v>7</v>
      </c>
      <c r="E25" s="255" t="e">
        <f>#REF!</f>
        <v>#REF!</v>
      </c>
      <c r="G25" s="988"/>
    </row>
    <row r="26" spans="1:7" ht="51" customHeight="1" x14ac:dyDescent="0.25">
      <c r="A26" s="961"/>
      <c r="B26" s="786" t="s">
        <v>488</v>
      </c>
      <c r="C26" s="882"/>
      <c r="D26" s="647"/>
      <c r="E26" s="255"/>
      <c r="G26" s="988"/>
    </row>
    <row r="27" spans="1:7" ht="69.75" customHeight="1" x14ac:dyDescent="0.25">
      <c r="A27" s="961"/>
      <c r="B27" s="787" t="s">
        <v>489</v>
      </c>
      <c r="C27" s="882"/>
      <c r="D27" s="647"/>
      <c r="E27" s="255"/>
      <c r="G27" s="988"/>
    </row>
    <row r="28" spans="1:7" ht="47.25" customHeight="1" thickBot="1" x14ac:dyDescent="0.3">
      <c r="A28" s="962"/>
      <c r="B28" s="866" t="s">
        <v>490</v>
      </c>
      <c r="C28" s="883"/>
      <c r="D28" s="647"/>
      <c r="E28" s="255"/>
      <c r="G28" s="988"/>
    </row>
    <row r="29" spans="1:7" ht="15.75" hidden="1" x14ac:dyDescent="0.25">
      <c r="A29" s="20" t="s">
        <v>6</v>
      </c>
      <c r="B29" s="50"/>
      <c r="C29" s="57"/>
      <c r="D29" s="56"/>
      <c r="E29" s="56" t="e">
        <f>SUM(E19:E25)</f>
        <v>#REF!</v>
      </c>
      <c r="G29" s="988"/>
    </row>
    <row r="30" spans="1:7" ht="16.5" hidden="1" thickBot="1" x14ac:dyDescent="0.3">
      <c r="A30" s="20" t="s">
        <v>5</v>
      </c>
      <c r="B30" s="50"/>
      <c r="C30" s="57"/>
      <c r="D30" s="56"/>
      <c r="E30" s="56" t="e">
        <f>0.07*E29</f>
        <v>#REF!</v>
      </c>
      <c r="G30" s="989"/>
    </row>
    <row r="31" spans="1:7" hidden="1" x14ac:dyDescent="0.25">
      <c r="A31" s="55" t="s">
        <v>4</v>
      </c>
      <c r="B31" s="14"/>
      <c r="C31" s="54"/>
      <c r="D31" s="13"/>
      <c r="E31" s="91" t="e">
        <f>SUM(E29:E30)</f>
        <v>#REF!</v>
      </c>
    </row>
    <row r="32" spans="1:7" ht="27" hidden="1" customHeight="1" x14ac:dyDescent="0.25">
      <c r="A32" s="945" t="s">
        <v>3</v>
      </c>
      <c r="B32" s="946"/>
      <c r="C32" s="947"/>
      <c r="D32" s="10"/>
      <c r="E32" s="12"/>
    </row>
    <row r="33" spans="1:7" hidden="1" x14ac:dyDescent="0.25">
      <c r="A33" s="716" t="s">
        <v>2</v>
      </c>
      <c r="B33" s="220"/>
      <c r="C33" s="221"/>
      <c r="D33" s="10"/>
      <c r="E33" s="717" t="e">
        <f>(#REF!/'Secretariat work plan 2014 '!E31)*#REF!+(#REF!/'Secretariat work plan 2014 '!E31)*#REF!</f>
        <v>#REF!</v>
      </c>
    </row>
    <row r="34" spans="1:7" hidden="1" x14ac:dyDescent="0.25">
      <c r="A34" s="716" t="s">
        <v>346</v>
      </c>
      <c r="B34" s="220"/>
      <c r="C34" s="221"/>
      <c r="D34" s="10"/>
      <c r="E34" s="717" t="e">
        <f>(#REF!/'Secretariat work plan 2014 '!E31)*#REF!+(#REF!/'Secretariat work plan 2014 '!E31)*#REF!</f>
        <v>#REF!</v>
      </c>
    </row>
    <row r="35" spans="1:7" ht="26.25" hidden="1" customHeight="1" x14ac:dyDescent="0.25">
      <c r="A35" s="118" t="s">
        <v>1</v>
      </c>
      <c r="B35" s="220"/>
      <c r="C35" s="221"/>
      <c r="D35" s="10"/>
      <c r="E35" s="8"/>
    </row>
    <row r="36" spans="1:7" ht="47.25" hidden="1" customHeight="1" x14ac:dyDescent="0.25">
      <c r="A36" s="942" t="s">
        <v>491</v>
      </c>
      <c r="B36" s="786" t="s">
        <v>492</v>
      </c>
      <c r="C36" s="983" t="s">
        <v>111</v>
      </c>
      <c r="D36" s="849" t="s">
        <v>222</v>
      </c>
      <c r="E36" s="56" t="e">
        <f>#REF!</f>
        <v>#REF!</v>
      </c>
      <c r="G36" s="991" t="s">
        <v>554</v>
      </c>
    </row>
    <row r="37" spans="1:7" ht="47.25" hidden="1" x14ac:dyDescent="0.25">
      <c r="A37" s="943"/>
      <c r="B37" s="850" t="s">
        <v>494</v>
      </c>
      <c r="C37" s="984"/>
      <c r="D37" s="651" t="s">
        <v>12</v>
      </c>
      <c r="E37" s="56" t="e">
        <f>#REF!</f>
        <v>#REF!</v>
      </c>
      <c r="G37" s="992"/>
    </row>
    <row r="38" spans="1:7" ht="31.5" hidden="1" x14ac:dyDescent="0.25">
      <c r="A38" s="982"/>
      <c r="B38" s="851" t="s">
        <v>493</v>
      </c>
      <c r="C38" s="985"/>
      <c r="D38" s="649" t="s">
        <v>10</v>
      </c>
      <c r="E38" s="56" t="e">
        <f>#REF!</f>
        <v>#REF!</v>
      </c>
      <c r="G38" s="993"/>
    </row>
    <row r="39" spans="1:7" hidden="1" x14ac:dyDescent="0.25">
      <c r="A39" s="775" t="s">
        <v>6</v>
      </c>
      <c r="B39" s="852"/>
      <c r="C39" s="57"/>
      <c r="D39" s="56"/>
      <c r="E39" s="56" t="e">
        <f>SUM(E36:E38)</f>
        <v>#REF!</v>
      </c>
    </row>
    <row r="40" spans="1:7" hidden="1" x14ac:dyDescent="0.25">
      <c r="A40" s="775" t="s">
        <v>5</v>
      </c>
      <c r="B40" s="852"/>
      <c r="C40" s="57"/>
      <c r="D40" s="56"/>
      <c r="E40" s="56" t="e">
        <f>0.07*E39</f>
        <v>#REF!</v>
      </c>
    </row>
    <row r="41" spans="1:7" hidden="1" x14ac:dyDescent="0.25">
      <c r="A41" s="875"/>
      <c r="B41" s="852"/>
      <c r="C41" s="57"/>
      <c r="D41" s="56"/>
      <c r="E41" s="56"/>
    </row>
    <row r="42" spans="1:7" hidden="1" x14ac:dyDescent="0.25">
      <c r="A42" s="55" t="s">
        <v>4</v>
      </c>
      <c r="B42" s="14"/>
      <c r="C42" s="54"/>
      <c r="D42" s="13"/>
      <c r="E42" s="91" t="e">
        <f>SUM(E39:E40)</f>
        <v>#REF!</v>
      </c>
    </row>
    <row r="43" spans="1:7" ht="27" hidden="1" customHeight="1" x14ac:dyDescent="0.25">
      <c r="A43" s="945" t="s">
        <v>3</v>
      </c>
      <c r="B43" s="946"/>
      <c r="C43" s="947"/>
      <c r="D43" s="10"/>
      <c r="E43" s="12"/>
    </row>
    <row r="44" spans="1:7" hidden="1" x14ac:dyDescent="0.25">
      <c r="A44" s="716" t="s">
        <v>2</v>
      </c>
      <c r="B44" s="220"/>
      <c r="C44" s="221"/>
      <c r="D44" s="10"/>
      <c r="E44" s="717" t="e">
        <f>#REF!</f>
        <v>#REF!</v>
      </c>
    </row>
    <row r="45" spans="1:7" hidden="1" x14ac:dyDescent="0.25">
      <c r="A45" s="716" t="s">
        <v>346</v>
      </c>
      <c r="B45" s="220"/>
      <c r="C45" s="221"/>
      <c r="D45" s="10"/>
      <c r="E45" s="717" t="e">
        <f>#REF!</f>
        <v>#REF!</v>
      </c>
    </row>
    <row r="46" spans="1:7" hidden="1" x14ac:dyDescent="0.25">
      <c r="A46" s="118" t="s">
        <v>1</v>
      </c>
      <c r="B46" s="220"/>
      <c r="C46" s="221"/>
      <c r="D46" s="10"/>
      <c r="E46" s="8"/>
    </row>
    <row r="47" spans="1:7" ht="23.25" hidden="1" customHeight="1" thickBot="1" x14ac:dyDescent="0.3">
      <c r="A47" s="718" t="s">
        <v>94</v>
      </c>
      <c r="B47" s="588"/>
      <c r="C47" s="648"/>
      <c r="D47" s="589"/>
      <c r="E47" s="440" t="e">
        <f>E31+E14+E42</f>
        <v>#REF!</v>
      </c>
    </row>
    <row r="48" spans="1:7" ht="41.25" customHeight="1" thickTop="1" x14ac:dyDescent="0.25">
      <c r="A48" s="967" t="s">
        <v>36</v>
      </c>
      <c r="B48" s="968"/>
      <c r="C48" s="969" t="s">
        <v>24</v>
      </c>
      <c r="D48" s="965" t="s">
        <v>365</v>
      </c>
      <c r="E48" s="966"/>
      <c r="G48" s="885" t="s">
        <v>553</v>
      </c>
    </row>
    <row r="49" spans="1:7" x14ac:dyDescent="0.25">
      <c r="A49" s="30" t="s">
        <v>21</v>
      </c>
      <c r="B49" s="30" t="s">
        <v>20</v>
      </c>
      <c r="C49" s="970"/>
      <c r="D49" s="28" t="s">
        <v>15</v>
      </c>
      <c r="E49" s="27" t="s">
        <v>286</v>
      </c>
    </row>
    <row r="50" spans="1:7" ht="21" customHeight="1" x14ac:dyDescent="0.25">
      <c r="A50" s="938" t="s">
        <v>349</v>
      </c>
      <c r="B50" s="66" t="s">
        <v>495</v>
      </c>
      <c r="C50" s="948" t="s">
        <v>433</v>
      </c>
      <c r="D50" s="849" t="s">
        <v>222</v>
      </c>
      <c r="E50" s="255" t="e">
        <f>#REF!</f>
        <v>#REF!</v>
      </c>
      <c r="G50" s="933" t="s">
        <v>561</v>
      </c>
    </row>
    <row r="51" spans="1:7" ht="21" customHeight="1" x14ac:dyDescent="0.25">
      <c r="A51" s="939"/>
      <c r="B51" s="853" t="s">
        <v>496</v>
      </c>
      <c r="C51" s="949"/>
      <c r="D51" s="649" t="s">
        <v>10</v>
      </c>
      <c r="E51" s="255" t="e">
        <f>#REF!</f>
        <v>#REF!</v>
      </c>
      <c r="G51" s="934"/>
    </row>
    <row r="52" spans="1:7" ht="21" customHeight="1" x14ac:dyDescent="0.25">
      <c r="A52" s="939"/>
      <c r="B52" s="66" t="s">
        <v>497</v>
      </c>
      <c r="C52" s="949"/>
      <c r="D52" s="649" t="s">
        <v>9</v>
      </c>
      <c r="E52" s="704" t="e">
        <f>#REF!</f>
        <v>#REF!</v>
      </c>
      <c r="G52" s="934"/>
    </row>
    <row r="53" spans="1:7" ht="21" customHeight="1" x14ac:dyDescent="0.25">
      <c r="A53" s="939"/>
      <c r="B53" s="66" t="s">
        <v>498</v>
      </c>
      <c r="C53" s="949"/>
      <c r="D53" s="647" t="s">
        <v>7</v>
      </c>
      <c r="E53" s="255" t="e">
        <f>#REF!</f>
        <v>#REF!</v>
      </c>
      <c r="G53" s="934"/>
    </row>
    <row r="54" spans="1:7" ht="21" customHeight="1" x14ac:dyDescent="0.25">
      <c r="A54" s="961"/>
      <c r="B54" s="66" t="s">
        <v>499</v>
      </c>
      <c r="C54" s="839"/>
      <c r="D54" s="647"/>
      <c r="E54" s="255"/>
      <c r="G54" s="934"/>
    </row>
    <row r="55" spans="1:7" ht="21" customHeight="1" x14ac:dyDescent="0.25">
      <c r="A55" s="961"/>
      <c r="B55" s="66" t="s">
        <v>500</v>
      </c>
      <c r="C55" s="839"/>
      <c r="D55" s="647"/>
      <c r="E55" s="255"/>
      <c r="G55" s="934"/>
    </row>
    <row r="56" spans="1:7" ht="21" customHeight="1" x14ac:dyDescent="0.25">
      <c r="A56" s="961"/>
      <c r="B56" s="66" t="s">
        <v>501</v>
      </c>
      <c r="C56" s="839"/>
      <c r="D56" s="647"/>
      <c r="E56" s="255"/>
      <c r="G56" s="934"/>
    </row>
    <row r="57" spans="1:7" ht="21" customHeight="1" x14ac:dyDescent="0.25">
      <c r="A57" s="961"/>
      <c r="B57" s="66" t="s">
        <v>502</v>
      </c>
      <c r="C57" s="839"/>
      <c r="D57" s="647"/>
      <c r="E57" s="255"/>
      <c r="G57" s="934"/>
    </row>
    <row r="58" spans="1:7" ht="21" customHeight="1" x14ac:dyDescent="0.25">
      <c r="A58" s="961"/>
      <c r="B58" s="757" t="s">
        <v>503</v>
      </c>
      <c r="C58" s="839"/>
      <c r="D58" s="647"/>
      <c r="E58" s="255"/>
      <c r="G58" s="934"/>
    </row>
    <row r="59" spans="1:7" ht="21" customHeight="1" x14ac:dyDescent="0.25">
      <c r="A59" s="961"/>
      <c r="B59" s="757" t="s">
        <v>504</v>
      </c>
      <c r="C59" s="839"/>
      <c r="D59" s="647"/>
      <c r="E59" s="255"/>
      <c r="G59" s="934"/>
    </row>
    <row r="60" spans="1:7" ht="21" customHeight="1" x14ac:dyDescent="0.25">
      <c r="A60" s="962"/>
      <c r="B60" s="785" t="s">
        <v>505</v>
      </c>
      <c r="C60" s="839"/>
      <c r="D60" s="647"/>
      <c r="E60" s="255"/>
      <c r="G60" s="986"/>
    </row>
    <row r="61" spans="1:7" ht="18.75" hidden="1" customHeight="1" x14ac:dyDescent="0.25">
      <c r="A61" s="20" t="s">
        <v>6</v>
      </c>
      <c r="B61" s="21"/>
      <c r="C61" s="228"/>
      <c r="D61" s="22"/>
      <c r="E61" s="22" t="e">
        <f>SUM(E50:E53)</f>
        <v>#REF!</v>
      </c>
      <c r="G61" s="871"/>
    </row>
    <row r="62" spans="1:7" ht="19.5" hidden="1" customHeight="1" x14ac:dyDescent="0.25">
      <c r="A62" s="20" t="s">
        <v>5</v>
      </c>
      <c r="B62" s="19"/>
      <c r="C62" s="228"/>
      <c r="D62" s="23"/>
      <c r="E62" s="23" t="e">
        <f>0.07*E61</f>
        <v>#REF!</v>
      </c>
      <c r="G62" s="871"/>
    </row>
    <row r="63" spans="1:7" ht="15.75" hidden="1" x14ac:dyDescent="0.25">
      <c r="A63" s="15" t="s">
        <v>4</v>
      </c>
      <c r="B63" s="14"/>
      <c r="C63" s="14"/>
      <c r="D63" s="250"/>
      <c r="E63" s="250" t="e">
        <f>SUM(E61:E62)</f>
        <v>#REF!</v>
      </c>
      <c r="G63" s="871"/>
    </row>
    <row r="64" spans="1:7" ht="11.25" hidden="1" customHeight="1" x14ac:dyDescent="0.25">
      <c r="A64" s="945" t="s">
        <v>3</v>
      </c>
      <c r="B64" s="946"/>
      <c r="C64" s="947"/>
      <c r="D64" s="10"/>
      <c r="E64" s="12"/>
      <c r="G64" s="871"/>
    </row>
    <row r="65" spans="1:7" ht="15.75" hidden="1" x14ac:dyDescent="0.25">
      <c r="A65" s="716" t="s">
        <v>2</v>
      </c>
      <c r="B65" s="220"/>
      <c r="C65" s="221"/>
      <c r="D65" s="10"/>
      <c r="E65" s="8"/>
      <c r="G65" s="871"/>
    </row>
    <row r="66" spans="1:7" ht="13.5" hidden="1" customHeight="1" x14ac:dyDescent="0.25">
      <c r="A66" s="716" t="s">
        <v>346</v>
      </c>
      <c r="B66" s="220"/>
      <c r="C66" s="221">
        <v>2015</v>
      </c>
      <c r="D66" s="10"/>
      <c r="E66" s="717">
        <v>0</v>
      </c>
      <c r="G66" s="871"/>
    </row>
    <row r="67" spans="1:7" ht="15.75" hidden="1" x14ac:dyDescent="0.25">
      <c r="A67" s="118" t="s">
        <v>1</v>
      </c>
      <c r="B67" s="220"/>
      <c r="C67" s="221"/>
      <c r="D67" s="10"/>
      <c r="E67" s="717">
        <v>1</v>
      </c>
      <c r="G67" s="869"/>
    </row>
    <row r="68" spans="1:7" ht="74.25" customHeight="1" x14ac:dyDescent="0.25">
      <c r="A68" s="938" t="s">
        <v>223</v>
      </c>
      <c r="B68" s="972" t="s">
        <v>536</v>
      </c>
      <c r="C68" s="948" t="s">
        <v>322</v>
      </c>
      <c r="D68" s="842" t="s">
        <v>222</v>
      </c>
      <c r="E68" s="255">
        <v>314896.35681204189</v>
      </c>
      <c r="G68" s="987" t="s">
        <v>558</v>
      </c>
    </row>
    <row r="69" spans="1:7" ht="25.5" customHeight="1" x14ac:dyDescent="0.25">
      <c r="A69" s="939"/>
      <c r="B69" s="973"/>
      <c r="C69" s="949"/>
      <c r="D69" s="229" t="s">
        <v>9</v>
      </c>
      <c r="E69" s="843">
        <v>17000</v>
      </c>
      <c r="G69" s="988"/>
    </row>
    <row r="70" spans="1:7" ht="54.75" customHeight="1" x14ac:dyDescent="0.25">
      <c r="A70" s="939"/>
      <c r="B70" s="757" t="s">
        <v>537</v>
      </c>
      <c r="C70" s="949"/>
      <c r="D70" s="229" t="s">
        <v>538</v>
      </c>
      <c r="E70" s="844">
        <v>15285.714285714286</v>
      </c>
      <c r="G70" s="988"/>
    </row>
    <row r="71" spans="1:7" ht="39" customHeight="1" x14ac:dyDescent="0.25">
      <c r="A71" s="939"/>
      <c r="B71" s="757" t="s">
        <v>539</v>
      </c>
      <c r="C71" s="949"/>
      <c r="D71" s="710"/>
      <c r="E71" s="710"/>
      <c r="G71" s="988"/>
    </row>
    <row r="72" spans="1:7" ht="56.25" customHeight="1" x14ac:dyDescent="0.25">
      <c r="A72" s="939"/>
      <c r="B72" s="757" t="s">
        <v>540</v>
      </c>
      <c r="C72" s="949"/>
      <c r="D72" s="229"/>
      <c r="E72" s="843"/>
      <c r="G72" s="988"/>
    </row>
    <row r="73" spans="1:7" ht="46.5" customHeight="1" x14ac:dyDescent="0.25">
      <c r="A73" s="940"/>
      <c r="B73" s="66" t="s">
        <v>541</v>
      </c>
      <c r="C73" s="949"/>
      <c r="D73" s="229"/>
      <c r="E73" s="843"/>
      <c r="G73" s="988"/>
    </row>
    <row r="74" spans="1:7" ht="47.25" customHeight="1" x14ac:dyDescent="0.25">
      <c r="A74" s="940"/>
      <c r="B74" s="66" t="s">
        <v>542</v>
      </c>
      <c r="C74" s="950"/>
      <c r="D74" s="229"/>
      <c r="E74" s="843"/>
      <c r="G74" s="988"/>
    </row>
    <row r="75" spans="1:7" ht="45.75" customHeight="1" x14ac:dyDescent="0.25">
      <c r="A75" s="941"/>
      <c r="B75" s="66" t="s">
        <v>543</v>
      </c>
      <c r="C75" s="840"/>
      <c r="D75" s="845"/>
      <c r="E75" s="23"/>
      <c r="G75" s="988"/>
    </row>
    <row r="76" spans="1:7" ht="15.75" hidden="1" x14ac:dyDescent="0.25">
      <c r="A76" s="20" t="s">
        <v>6</v>
      </c>
      <c r="B76" s="19"/>
      <c r="C76" s="228"/>
      <c r="D76" s="222"/>
      <c r="E76" s="17">
        <v>347182.07109775615</v>
      </c>
      <c r="G76" s="988"/>
    </row>
    <row r="77" spans="1:7" ht="21" hidden="1" customHeight="1" x14ac:dyDescent="0.25">
      <c r="A77" s="20" t="s">
        <v>5</v>
      </c>
      <c r="B77" s="19"/>
      <c r="C77" s="231"/>
      <c r="D77" s="222"/>
      <c r="E77" s="17">
        <v>24302.744976842932</v>
      </c>
      <c r="G77" s="988"/>
    </row>
    <row r="78" spans="1:7" ht="15.75" hidden="1" x14ac:dyDescent="0.25">
      <c r="A78" s="15" t="s">
        <v>4</v>
      </c>
      <c r="B78" s="14"/>
      <c r="C78" s="14"/>
      <c r="D78" s="13"/>
      <c r="E78" s="91">
        <v>371484.8160745991</v>
      </c>
      <c r="G78" s="989"/>
    </row>
    <row r="79" spans="1:7" ht="27" hidden="1" customHeight="1" x14ac:dyDescent="0.25">
      <c r="A79" s="945" t="s">
        <v>3</v>
      </c>
      <c r="B79" s="946"/>
      <c r="C79" s="947"/>
      <c r="D79" s="10"/>
      <c r="E79" s="846"/>
    </row>
    <row r="80" spans="1:7" hidden="1" x14ac:dyDescent="0.25">
      <c r="A80" s="716" t="s">
        <v>2</v>
      </c>
      <c r="B80" s="220"/>
      <c r="C80" s="221"/>
      <c r="D80" s="10"/>
      <c r="E80" s="219"/>
    </row>
    <row r="81" spans="1:7" hidden="1" x14ac:dyDescent="0.25">
      <c r="A81" s="716" t="s">
        <v>346</v>
      </c>
      <c r="B81" s="220"/>
      <c r="C81" s="221"/>
      <c r="D81" s="10"/>
      <c r="E81" s="219"/>
    </row>
    <row r="82" spans="1:7" hidden="1" x14ac:dyDescent="0.25">
      <c r="A82" s="118" t="s">
        <v>1</v>
      </c>
      <c r="B82" s="220"/>
      <c r="C82" s="221"/>
      <c r="D82" s="10"/>
      <c r="E82" s="219">
        <v>1</v>
      </c>
    </row>
    <row r="83" spans="1:7" ht="36.75" customHeight="1" x14ac:dyDescent="0.25">
      <c r="A83" s="938" t="s">
        <v>227</v>
      </c>
      <c r="B83" s="865" t="s">
        <v>544</v>
      </c>
      <c r="C83" s="948" t="s">
        <v>322</v>
      </c>
      <c r="D83" s="842" t="s">
        <v>222</v>
      </c>
      <c r="E83" s="255">
        <v>383946.7294144819</v>
      </c>
      <c r="G83" s="933" t="s">
        <v>564</v>
      </c>
    </row>
    <row r="84" spans="1:7" ht="57" customHeight="1" x14ac:dyDescent="0.25">
      <c r="A84" s="939"/>
      <c r="B84" s="865" t="s">
        <v>545</v>
      </c>
      <c r="C84" s="949"/>
      <c r="D84" s="229" t="s">
        <v>9</v>
      </c>
      <c r="E84" s="843">
        <v>15750</v>
      </c>
      <c r="G84" s="934"/>
    </row>
    <row r="85" spans="1:7" ht="33.75" customHeight="1" x14ac:dyDescent="0.25">
      <c r="A85" s="939"/>
      <c r="B85" s="865" t="s">
        <v>546</v>
      </c>
      <c r="C85" s="949"/>
      <c r="D85" s="229" t="s">
        <v>538</v>
      </c>
      <c r="E85" s="844">
        <v>15285.714285714286</v>
      </c>
      <c r="G85" s="934"/>
    </row>
    <row r="86" spans="1:7" ht="18.75" customHeight="1" x14ac:dyDescent="0.25">
      <c r="A86" s="939"/>
      <c r="B86" s="865" t="s">
        <v>547</v>
      </c>
      <c r="C86" s="949"/>
      <c r="D86" s="710"/>
      <c r="E86" s="710"/>
      <c r="G86" s="934"/>
    </row>
    <row r="87" spans="1:7" ht="31.5" x14ac:dyDescent="0.25">
      <c r="A87" s="939"/>
      <c r="B87" s="865" t="s">
        <v>548</v>
      </c>
      <c r="C87" s="949"/>
      <c r="D87" s="229"/>
      <c r="E87" s="843"/>
      <c r="G87" s="934"/>
    </row>
    <row r="88" spans="1:7" ht="32.25" customHeight="1" x14ac:dyDescent="0.25">
      <c r="A88" s="940"/>
      <c r="B88" s="865" t="s">
        <v>549</v>
      </c>
      <c r="C88" s="949"/>
      <c r="D88" s="229"/>
      <c r="E88" s="843"/>
      <c r="G88" s="934"/>
    </row>
    <row r="89" spans="1:7" ht="36" customHeight="1" x14ac:dyDescent="0.25">
      <c r="A89" s="940"/>
      <c r="B89" s="865" t="s">
        <v>550</v>
      </c>
      <c r="C89" s="949"/>
      <c r="D89" s="229"/>
      <c r="E89" s="843"/>
      <c r="G89" s="934"/>
    </row>
    <row r="90" spans="1:7" ht="53.25" customHeight="1" x14ac:dyDescent="0.25">
      <c r="A90" s="940"/>
      <c r="B90" s="865" t="s">
        <v>551</v>
      </c>
      <c r="C90" s="950"/>
      <c r="D90" s="847"/>
      <c r="E90" s="23"/>
      <c r="G90" s="934"/>
    </row>
    <row r="91" spans="1:7" ht="30" customHeight="1" x14ac:dyDescent="0.25">
      <c r="A91" s="941"/>
      <c r="B91" s="881" t="s">
        <v>552</v>
      </c>
      <c r="C91" s="228"/>
      <c r="D91" s="848"/>
      <c r="E91" s="23"/>
      <c r="G91" s="934"/>
    </row>
    <row r="92" spans="1:7" ht="15.75" hidden="1" x14ac:dyDescent="0.25">
      <c r="A92" s="20" t="s">
        <v>6</v>
      </c>
      <c r="B92" s="19"/>
      <c r="C92" s="228"/>
      <c r="D92" s="222"/>
      <c r="E92" s="17">
        <v>414982.44370019616</v>
      </c>
      <c r="G92" s="935"/>
    </row>
    <row r="93" spans="1:7" ht="15.75" hidden="1" x14ac:dyDescent="0.25">
      <c r="A93" s="20" t="s">
        <v>5</v>
      </c>
      <c r="B93" s="19"/>
      <c r="C93" s="228"/>
      <c r="D93" s="222"/>
      <c r="E93" s="17">
        <v>29048.771059013736</v>
      </c>
      <c r="G93" s="935"/>
    </row>
    <row r="94" spans="1:7" ht="15.75" hidden="1" x14ac:dyDescent="0.25">
      <c r="A94" s="876" t="s">
        <v>4</v>
      </c>
      <c r="B94" s="87"/>
      <c r="C94" s="14"/>
      <c r="D94" s="13"/>
      <c r="E94" s="91">
        <v>444031.21475920989</v>
      </c>
      <c r="G94" s="935"/>
    </row>
    <row r="95" spans="1:7" ht="27" hidden="1" customHeight="1" x14ac:dyDescent="0.25">
      <c r="A95" s="945" t="s">
        <v>3</v>
      </c>
      <c r="B95" s="946"/>
      <c r="C95" s="947"/>
      <c r="D95" s="10"/>
      <c r="E95" s="846"/>
    </row>
    <row r="96" spans="1:7" hidden="1" x14ac:dyDescent="0.25">
      <c r="A96" s="716" t="s">
        <v>2</v>
      </c>
      <c r="B96" s="220"/>
      <c r="C96" s="221"/>
      <c r="D96" s="10"/>
      <c r="E96" s="219"/>
    </row>
    <row r="97" spans="1:7" hidden="1" x14ac:dyDescent="0.25">
      <c r="A97" s="716" t="s">
        <v>346</v>
      </c>
      <c r="B97" s="220"/>
      <c r="C97" s="221"/>
      <c r="D97" s="10"/>
      <c r="E97" s="219"/>
    </row>
    <row r="98" spans="1:7" hidden="1" x14ac:dyDescent="0.25">
      <c r="A98" s="118" t="s">
        <v>1</v>
      </c>
      <c r="B98" s="220"/>
      <c r="C98" s="221"/>
      <c r="D98" s="10"/>
      <c r="E98" s="219">
        <v>1</v>
      </c>
    </row>
    <row r="99" spans="1:7" ht="31.5" x14ac:dyDescent="0.25">
      <c r="A99" s="938" t="s">
        <v>224</v>
      </c>
      <c r="B99" s="703" t="s">
        <v>506</v>
      </c>
      <c r="C99" s="948" t="s">
        <v>322</v>
      </c>
      <c r="D99" s="849" t="s">
        <v>222</v>
      </c>
      <c r="E99" s="255" t="e">
        <f>#REF!</f>
        <v>#REF!</v>
      </c>
      <c r="G99" s="936" t="s">
        <v>563</v>
      </c>
    </row>
    <row r="100" spans="1:7" ht="27.75" customHeight="1" x14ac:dyDescent="0.25">
      <c r="A100" s="939"/>
      <c r="B100" s="877" t="s">
        <v>507</v>
      </c>
      <c r="C100" s="949"/>
      <c r="D100" s="649" t="s">
        <v>10</v>
      </c>
      <c r="E100" s="255" t="e">
        <f>#REF!</f>
        <v>#REF!</v>
      </c>
      <c r="G100" s="937"/>
    </row>
    <row r="101" spans="1:7" ht="24" customHeight="1" x14ac:dyDescent="0.25">
      <c r="A101" s="939"/>
      <c r="B101" s="66" t="s">
        <v>508</v>
      </c>
      <c r="C101" s="949"/>
      <c r="D101" s="649" t="s">
        <v>9</v>
      </c>
      <c r="E101" s="255" t="e">
        <f>#REF!</f>
        <v>#REF!</v>
      </c>
      <c r="G101" s="937"/>
    </row>
    <row r="102" spans="1:7" ht="42.75" customHeight="1" x14ac:dyDescent="0.25">
      <c r="A102" s="961"/>
      <c r="B102" s="66" t="s">
        <v>509</v>
      </c>
      <c r="C102" s="839"/>
      <c r="D102" s="649"/>
      <c r="E102" s="255"/>
      <c r="G102" s="937"/>
    </row>
    <row r="103" spans="1:7" ht="24" customHeight="1" x14ac:dyDescent="0.25">
      <c r="A103" s="961"/>
      <c r="B103" s="66" t="s">
        <v>527</v>
      </c>
      <c r="C103" s="839"/>
      <c r="D103" s="649"/>
      <c r="E103" s="255"/>
      <c r="G103" s="937"/>
    </row>
    <row r="104" spans="1:7" ht="24" customHeight="1" x14ac:dyDescent="0.25">
      <c r="A104" s="961"/>
      <c r="B104" s="66" t="s">
        <v>510</v>
      </c>
      <c r="C104" s="839"/>
      <c r="D104" s="649"/>
      <c r="E104" s="255"/>
      <c r="G104" s="937"/>
    </row>
    <row r="105" spans="1:7" ht="26.25" customHeight="1" x14ac:dyDescent="0.25">
      <c r="A105" s="962"/>
      <c r="B105" s="878" t="s">
        <v>511</v>
      </c>
      <c r="C105" s="839"/>
      <c r="D105" s="649"/>
      <c r="E105" s="255"/>
      <c r="G105" s="937"/>
    </row>
    <row r="106" spans="1:7" hidden="1" x14ac:dyDescent="0.25">
      <c r="A106" s="20" t="s">
        <v>6</v>
      </c>
      <c r="B106" s="232"/>
      <c r="C106" s="228"/>
      <c r="D106" s="17"/>
      <c r="E106" s="26" t="e">
        <f>SUM(E99:E101)</f>
        <v>#REF!</v>
      </c>
    </row>
    <row r="107" spans="1:7" hidden="1" x14ac:dyDescent="0.25">
      <c r="A107" s="20" t="s">
        <v>5</v>
      </c>
      <c r="B107" s="232"/>
      <c r="C107" s="228"/>
      <c r="D107" s="17"/>
      <c r="E107" s="17" t="e">
        <f>0.07*E106</f>
        <v>#REF!</v>
      </c>
    </row>
    <row r="108" spans="1:7" hidden="1" x14ac:dyDescent="0.25">
      <c r="A108" s="15" t="s">
        <v>4</v>
      </c>
      <c r="B108" s="14"/>
      <c r="C108" s="14"/>
      <c r="D108" s="13"/>
      <c r="E108" s="91" t="e">
        <f>SUM(E106:E107)</f>
        <v>#REF!</v>
      </c>
    </row>
    <row r="109" spans="1:7" ht="15" hidden="1" customHeight="1" x14ac:dyDescent="0.25">
      <c r="A109" s="945" t="s">
        <v>3</v>
      </c>
      <c r="B109" s="946"/>
      <c r="C109" s="947"/>
      <c r="D109" s="10"/>
      <c r="E109" s="12"/>
    </row>
    <row r="110" spans="1:7" ht="16.5" hidden="1" customHeight="1" x14ac:dyDescent="0.25">
      <c r="A110" s="716" t="s">
        <v>2</v>
      </c>
      <c r="B110" s="220"/>
      <c r="C110" s="221"/>
      <c r="D110" s="10"/>
      <c r="E110" s="8"/>
      <c r="G110" s="868"/>
    </row>
    <row r="111" spans="1:7" ht="15" hidden="1" customHeight="1" x14ac:dyDescent="0.25">
      <c r="A111" s="716" t="s">
        <v>346</v>
      </c>
      <c r="B111" s="220"/>
      <c r="C111" s="221"/>
      <c r="D111" s="10"/>
      <c r="E111" s="717">
        <v>0</v>
      </c>
      <c r="G111" s="868"/>
    </row>
    <row r="112" spans="1:7" ht="32.25" hidden="1" customHeight="1" x14ac:dyDescent="0.25">
      <c r="A112" s="118" t="s">
        <v>1</v>
      </c>
      <c r="B112" s="220"/>
      <c r="C112" s="221"/>
      <c r="D112" s="10"/>
      <c r="E112" s="219">
        <v>1</v>
      </c>
      <c r="G112" s="868"/>
    </row>
    <row r="113" spans="1:7" ht="36" customHeight="1" x14ac:dyDescent="0.25">
      <c r="A113" s="938" t="s">
        <v>225</v>
      </c>
      <c r="B113" s="676" t="s">
        <v>512</v>
      </c>
      <c r="C113" s="948" t="s">
        <v>322</v>
      </c>
      <c r="D113" s="849" t="s">
        <v>222</v>
      </c>
      <c r="E113" s="255" t="e">
        <f>#REF!</f>
        <v>#REF!</v>
      </c>
      <c r="G113" s="954" t="s">
        <v>556</v>
      </c>
    </row>
    <row r="114" spans="1:7" ht="45.75" customHeight="1" x14ac:dyDescent="0.25">
      <c r="A114" s="939"/>
      <c r="B114" s="676" t="s">
        <v>513</v>
      </c>
      <c r="C114" s="949"/>
      <c r="D114" s="651" t="s">
        <v>11</v>
      </c>
      <c r="E114" s="255" t="e">
        <f>#REF!</f>
        <v>#REF!</v>
      </c>
      <c r="G114" s="955"/>
    </row>
    <row r="115" spans="1:7" ht="39.75" customHeight="1" x14ac:dyDescent="0.25">
      <c r="A115" s="939"/>
      <c r="B115" s="854" t="s">
        <v>514</v>
      </c>
      <c r="C115" s="949"/>
      <c r="D115" s="649" t="s">
        <v>10</v>
      </c>
      <c r="E115" s="255" t="e">
        <f>#REF!</f>
        <v>#REF!</v>
      </c>
      <c r="G115" s="955"/>
    </row>
    <row r="116" spans="1:7" ht="27.75" customHeight="1" x14ac:dyDescent="0.25">
      <c r="A116" s="939"/>
      <c r="B116" s="676" t="s">
        <v>515</v>
      </c>
      <c r="C116" s="949"/>
      <c r="D116" s="649" t="s">
        <v>9</v>
      </c>
      <c r="E116" s="704" t="e">
        <f>#REF!</f>
        <v>#REF!</v>
      </c>
      <c r="G116" s="955"/>
    </row>
    <row r="117" spans="1:7" ht="26.25" customHeight="1" x14ac:dyDescent="0.25">
      <c r="A117" s="961"/>
      <c r="B117" s="676" t="s">
        <v>516</v>
      </c>
      <c r="C117" s="950"/>
      <c r="D117" s="650" t="s">
        <v>7</v>
      </c>
      <c r="E117" s="255" t="e">
        <f>#REF!</f>
        <v>#REF!</v>
      </c>
      <c r="G117" s="955"/>
    </row>
    <row r="118" spans="1:7" ht="41.25" customHeight="1" x14ac:dyDescent="0.25">
      <c r="A118" s="961"/>
      <c r="B118" s="676" t="s">
        <v>517</v>
      </c>
      <c r="C118" s="840"/>
      <c r="D118" s="650"/>
      <c r="E118" s="255"/>
      <c r="G118" s="955"/>
    </row>
    <row r="119" spans="1:7" ht="33.75" customHeight="1" x14ac:dyDescent="0.25">
      <c r="A119" s="961"/>
      <c r="B119" s="855" t="s">
        <v>518</v>
      </c>
      <c r="C119" s="840"/>
      <c r="D119" s="650"/>
      <c r="E119" s="255"/>
      <c r="G119" s="955"/>
    </row>
    <row r="120" spans="1:7" ht="53.25" customHeight="1" x14ac:dyDescent="0.25">
      <c r="A120" s="962"/>
      <c r="B120" s="788" t="s">
        <v>519</v>
      </c>
      <c r="C120" s="840"/>
      <c r="D120" s="650"/>
      <c r="E120" s="255"/>
      <c r="G120" s="955"/>
    </row>
    <row r="121" spans="1:7" ht="15.75" hidden="1" customHeight="1" x14ac:dyDescent="0.25">
      <c r="A121" s="20" t="s">
        <v>6</v>
      </c>
      <c r="B121" s="705"/>
      <c r="C121" s="228"/>
      <c r="D121" s="222"/>
      <c r="E121" s="17" t="e">
        <f>SUM(E113:E117)</f>
        <v>#REF!</v>
      </c>
      <c r="G121" s="935"/>
    </row>
    <row r="122" spans="1:7" ht="15.75" hidden="1" customHeight="1" x14ac:dyDescent="0.25">
      <c r="A122" s="20" t="s">
        <v>5</v>
      </c>
      <c r="B122" s="19"/>
      <c r="C122" s="231"/>
      <c r="D122" s="222"/>
      <c r="E122" s="17" t="e">
        <f>0.07*E121</f>
        <v>#REF!</v>
      </c>
      <c r="G122" s="956"/>
    </row>
    <row r="123" spans="1:7" hidden="1" x14ac:dyDescent="0.25">
      <c r="A123" s="15" t="s">
        <v>4</v>
      </c>
      <c r="B123" s="14"/>
      <c r="C123" s="14"/>
      <c r="D123" s="13"/>
      <c r="E123" s="91" t="e">
        <f>SUM(E121:E122)</f>
        <v>#REF!</v>
      </c>
    </row>
    <row r="124" spans="1:7" hidden="1" x14ac:dyDescent="0.25">
      <c r="A124" s="945" t="s">
        <v>3</v>
      </c>
      <c r="B124" s="946"/>
      <c r="C124" s="947"/>
      <c r="D124" s="10"/>
      <c r="E124" s="12"/>
    </row>
    <row r="125" spans="1:7" hidden="1" x14ac:dyDescent="0.25">
      <c r="A125" s="716" t="s">
        <v>2</v>
      </c>
      <c r="B125" s="220"/>
      <c r="C125" s="221"/>
      <c r="D125" s="10"/>
      <c r="E125" s="717">
        <v>0</v>
      </c>
    </row>
    <row r="126" spans="1:7" hidden="1" x14ac:dyDescent="0.25">
      <c r="A126" s="716" t="s">
        <v>346</v>
      </c>
      <c r="B126" s="220"/>
      <c r="C126" s="221"/>
      <c r="D126" s="10"/>
      <c r="E126" s="717">
        <v>0</v>
      </c>
    </row>
    <row r="127" spans="1:7" hidden="1" x14ac:dyDescent="0.25">
      <c r="A127" s="716" t="s">
        <v>1</v>
      </c>
      <c r="B127" s="220"/>
      <c r="C127" s="221"/>
      <c r="D127" s="10"/>
      <c r="E127" s="717">
        <v>1</v>
      </c>
    </row>
    <row r="128" spans="1:7" ht="33.75" customHeight="1" x14ac:dyDescent="0.25">
      <c r="A128" s="957" t="s">
        <v>226</v>
      </c>
      <c r="B128" s="867" t="s">
        <v>520</v>
      </c>
      <c r="C128" s="951" t="s">
        <v>322</v>
      </c>
      <c r="D128" s="649" t="s">
        <v>10</v>
      </c>
      <c r="E128" s="255" t="e">
        <f>#REF!</f>
        <v>#REF!</v>
      </c>
      <c r="G128" s="933" t="s">
        <v>562</v>
      </c>
    </row>
    <row r="129" spans="1:7" ht="60" customHeight="1" x14ac:dyDescent="0.25">
      <c r="A129" s="958"/>
      <c r="B129" s="867" t="s">
        <v>521</v>
      </c>
      <c r="C129" s="951"/>
      <c r="D129" s="649" t="s">
        <v>9</v>
      </c>
      <c r="E129" s="255" t="e">
        <f>#REF!</f>
        <v>#REF!</v>
      </c>
      <c r="G129" s="952"/>
    </row>
    <row r="130" spans="1:7" ht="57" customHeight="1" x14ac:dyDescent="0.25">
      <c r="A130" s="959"/>
      <c r="B130" s="867" t="s">
        <v>522</v>
      </c>
      <c r="C130" s="839"/>
      <c r="D130" s="649"/>
      <c r="E130" s="255"/>
      <c r="G130" s="952"/>
    </row>
    <row r="131" spans="1:7" ht="98.25" hidden="1" customHeight="1" x14ac:dyDescent="0.25">
      <c r="A131" s="20" t="s">
        <v>6</v>
      </c>
      <c r="B131" s="705"/>
      <c r="C131" s="230"/>
      <c r="D131" s="222"/>
      <c r="E131" s="17" t="e">
        <f>SUM(E128:E129)</f>
        <v>#REF!</v>
      </c>
      <c r="G131" s="953"/>
    </row>
    <row r="132" spans="1:7" hidden="1" x14ac:dyDescent="0.25">
      <c r="A132" s="20" t="s">
        <v>5</v>
      </c>
      <c r="B132" s="19"/>
      <c r="C132" s="228"/>
      <c r="D132" s="222"/>
      <c r="E132" s="17" t="e">
        <f>0.07*E131</f>
        <v>#REF!</v>
      </c>
      <c r="G132" s="880"/>
    </row>
    <row r="133" spans="1:7" hidden="1" x14ac:dyDescent="0.25">
      <c r="A133" s="15" t="s">
        <v>4</v>
      </c>
      <c r="B133" s="14"/>
      <c r="C133" s="14"/>
      <c r="D133" s="13"/>
      <c r="E133" s="91" t="e">
        <f>SUM(E131:E132)</f>
        <v>#REF!</v>
      </c>
      <c r="G133" s="880"/>
    </row>
    <row r="134" spans="1:7" hidden="1" x14ac:dyDescent="0.25">
      <c r="A134" s="945" t="s">
        <v>3</v>
      </c>
      <c r="B134" s="946"/>
      <c r="C134" s="947"/>
      <c r="D134" s="10"/>
      <c r="E134" s="12"/>
      <c r="G134" s="880"/>
    </row>
    <row r="135" spans="1:7" hidden="1" x14ac:dyDescent="0.25">
      <c r="A135" s="716" t="s">
        <v>2</v>
      </c>
      <c r="B135" s="220"/>
      <c r="C135" s="221"/>
      <c r="D135" s="10"/>
      <c r="E135" s="8"/>
      <c r="G135" s="880"/>
    </row>
    <row r="136" spans="1:7" hidden="1" x14ac:dyDescent="0.25">
      <c r="A136" s="716" t="s">
        <v>346</v>
      </c>
      <c r="B136" s="220"/>
      <c r="C136" s="221"/>
      <c r="D136" s="10"/>
      <c r="E136" s="717">
        <v>0</v>
      </c>
      <c r="G136" s="880"/>
    </row>
    <row r="137" spans="1:7" hidden="1" x14ac:dyDescent="0.25">
      <c r="A137" s="118" t="s">
        <v>1</v>
      </c>
      <c r="B137" s="220"/>
      <c r="C137" s="221"/>
      <c r="D137" s="10"/>
      <c r="E137" s="219">
        <v>1</v>
      </c>
      <c r="G137" s="880"/>
    </row>
    <row r="138" spans="1:7" ht="65.25" customHeight="1" x14ac:dyDescent="0.25">
      <c r="A138" s="942" t="s">
        <v>523</v>
      </c>
      <c r="B138" s="866" t="s">
        <v>524</v>
      </c>
      <c r="C138" s="951" t="s">
        <v>427</v>
      </c>
      <c r="D138" s="650" t="s">
        <v>222</v>
      </c>
      <c r="E138" s="255" t="e">
        <f>#REF!</f>
        <v>#REF!</v>
      </c>
      <c r="G138" s="933" t="s">
        <v>555</v>
      </c>
    </row>
    <row r="139" spans="1:7" ht="63.75" customHeight="1" x14ac:dyDescent="0.25">
      <c r="A139" s="943"/>
      <c r="B139" s="866" t="s">
        <v>525</v>
      </c>
      <c r="C139" s="951"/>
      <c r="D139" s="650" t="s">
        <v>12</v>
      </c>
      <c r="E139" s="255" t="e">
        <f>#REF!</f>
        <v>#REF!</v>
      </c>
      <c r="G139" s="952"/>
    </row>
    <row r="140" spans="1:7" ht="31.5" x14ac:dyDescent="0.25">
      <c r="A140" s="944"/>
      <c r="B140" s="879" t="s">
        <v>526</v>
      </c>
      <c r="C140" s="230"/>
      <c r="D140" s="766" t="s">
        <v>9</v>
      </c>
      <c r="E140" s="17" t="e">
        <f>#REF!</f>
        <v>#REF!</v>
      </c>
      <c r="G140" s="953"/>
    </row>
    <row r="141" spans="1:7" ht="31.5" hidden="1" x14ac:dyDescent="0.25">
      <c r="A141" s="20"/>
      <c r="B141" s="765"/>
      <c r="C141" s="228"/>
      <c r="D141" s="222" t="s">
        <v>7</v>
      </c>
      <c r="E141" s="17" t="e">
        <f>#REF!</f>
        <v>#REF!</v>
      </c>
    </row>
    <row r="142" spans="1:7" hidden="1" x14ac:dyDescent="0.25">
      <c r="A142" s="20" t="s">
        <v>6</v>
      </c>
      <c r="B142" s="764"/>
      <c r="C142" s="230"/>
      <c r="D142" s="222"/>
      <c r="E142" s="17" t="e">
        <f>SUM(E138:E141)</f>
        <v>#REF!</v>
      </c>
    </row>
    <row r="143" spans="1:7" hidden="1" x14ac:dyDescent="0.25">
      <c r="A143" s="20" t="s">
        <v>5</v>
      </c>
      <c r="B143" s="19"/>
      <c r="C143" s="228"/>
      <c r="D143" s="222"/>
      <c r="E143" s="17" t="e">
        <f>0.07*E142</f>
        <v>#REF!</v>
      </c>
    </row>
    <row r="144" spans="1:7" hidden="1" x14ac:dyDescent="0.25">
      <c r="A144" s="15" t="s">
        <v>4</v>
      </c>
      <c r="B144" s="14"/>
      <c r="C144" s="14"/>
      <c r="D144" s="13"/>
      <c r="E144" s="91" t="e">
        <f>SUM(E142:E143)</f>
        <v>#REF!</v>
      </c>
    </row>
    <row r="145" spans="1:7" hidden="1" x14ac:dyDescent="0.25">
      <c r="A145" s="945" t="s">
        <v>3</v>
      </c>
      <c r="B145" s="946"/>
      <c r="C145" s="947"/>
      <c r="D145" s="10"/>
      <c r="E145" s="12"/>
    </row>
    <row r="146" spans="1:7" hidden="1" x14ac:dyDescent="0.25">
      <c r="A146" s="716" t="s">
        <v>2</v>
      </c>
      <c r="B146" s="220"/>
      <c r="C146" s="221"/>
      <c r="D146" s="10"/>
      <c r="E146" s="717">
        <v>0.1</v>
      </c>
    </row>
    <row r="147" spans="1:7" hidden="1" x14ac:dyDescent="0.25">
      <c r="A147" s="716" t="s">
        <v>346</v>
      </c>
      <c r="B147" s="220"/>
      <c r="C147" s="221"/>
      <c r="D147" s="10"/>
      <c r="E147" s="717">
        <v>0.9</v>
      </c>
    </row>
    <row r="148" spans="1:7" hidden="1" x14ac:dyDescent="0.25">
      <c r="A148" s="118" t="s">
        <v>1</v>
      </c>
      <c r="B148" s="220"/>
      <c r="C148" s="221"/>
      <c r="D148" s="10"/>
      <c r="E148" s="219">
        <v>0</v>
      </c>
    </row>
    <row r="149" spans="1:7" ht="19.5" hidden="1" thickBot="1" x14ac:dyDescent="0.3">
      <c r="A149" s="7" t="s">
        <v>0</v>
      </c>
      <c r="B149" s="6"/>
      <c r="C149" s="6"/>
      <c r="D149" s="254"/>
      <c r="E149" s="254" t="e">
        <f>E144+E133+E123+E108+E63</f>
        <v>#REF!</v>
      </c>
      <c r="G149" s="872"/>
    </row>
    <row r="150" spans="1:7" ht="16.5" hidden="1" customHeight="1" thickBot="1" x14ac:dyDescent="0.3">
      <c r="A150" s="719" t="s">
        <v>228</v>
      </c>
      <c r="B150" s="720"/>
      <c r="C150" s="720"/>
      <c r="D150" s="721"/>
      <c r="E150" s="722" t="e">
        <f>E149+E47+#REF!</f>
        <v>#REF!</v>
      </c>
      <c r="F150" s="760" t="e">
        <f>E190-E150</f>
        <v>#REF!</v>
      </c>
      <c r="G150" s="874"/>
    </row>
    <row r="151" spans="1:7" ht="14.25" customHeight="1" x14ac:dyDescent="0.25"/>
    <row r="152" spans="1:7" ht="31.5" hidden="1" x14ac:dyDescent="0.25">
      <c r="A152" s="139" t="s">
        <v>459</v>
      </c>
      <c r="E152" s="762"/>
    </row>
    <row r="153" spans="1:7" hidden="1" x14ac:dyDescent="0.25">
      <c r="A153" s="139" t="s">
        <v>439</v>
      </c>
      <c r="E153" s="762"/>
    </row>
    <row r="154" spans="1:7" ht="47.25" hidden="1" x14ac:dyDescent="0.25">
      <c r="A154" s="858" t="s">
        <v>434</v>
      </c>
      <c r="E154" s="762"/>
    </row>
    <row r="155" spans="1:7" hidden="1" x14ac:dyDescent="0.25">
      <c r="A155" s="139" t="s">
        <v>438</v>
      </c>
      <c r="E155" s="762"/>
    </row>
    <row r="156" spans="1:7" ht="47.25" hidden="1" x14ac:dyDescent="0.25">
      <c r="A156" s="858" t="s">
        <v>435</v>
      </c>
      <c r="E156" s="763"/>
    </row>
    <row r="157" spans="1:7" hidden="1" x14ac:dyDescent="0.25">
      <c r="A157" s="139" t="s">
        <v>440</v>
      </c>
    </row>
    <row r="158" spans="1:7" ht="63" hidden="1" x14ac:dyDescent="0.25">
      <c r="A158" s="859" t="s">
        <v>436</v>
      </c>
    </row>
    <row r="159" spans="1:7" hidden="1" x14ac:dyDescent="0.25">
      <c r="A159" s="139" t="s">
        <v>441</v>
      </c>
    </row>
    <row r="160" spans="1:7" ht="63" hidden="1" x14ac:dyDescent="0.25">
      <c r="A160" s="858" t="s">
        <v>437</v>
      </c>
    </row>
    <row r="161" spans="1:1" hidden="1" x14ac:dyDescent="0.25">
      <c r="A161" s="139" t="s">
        <v>442</v>
      </c>
    </row>
    <row r="162" spans="1:1" ht="47.25" hidden="1" x14ac:dyDescent="0.25">
      <c r="A162" s="858" t="s">
        <v>443</v>
      </c>
    </row>
    <row r="163" spans="1:1" hidden="1" x14ac:dyDescent="0.25">
      <c r="A163" s="139" t="s">
        <v>444</v>
      </c>
    </row>
    <row r="164" spans="1:1" ht="63" hidden="1" x14ac:dyDescent="0.25">
      <c r="A164" s="858" t="s">
        <v>445</v>
      </c>
    </row>
    <row r="165" spans="1:1" hidden="1" x14ac:dyDescent="0.25">
      <c r="A165" s="139" t="s">
        <v>446</v>
      </c>
    </row>
    <row r="166" spans="1:1" ht="47.25" hidden="1" x14ac:dyDescent="0.25">
      <c r="A166" s="858" t="s">
        <v>447</v>
      </c>
    </row>
    <row r="167" spans="1:1" hidden="1" x14ac:dyDescent="0.25">
      <c r="A167" s="139" t="s">
        <v>449</v>
      </c>
    </row>
    <row r="168" spans="1:1" hidden="1" x14ac:dyDescent="0.25">
      <c r="A168" s="860" t="s">
        <v>448</v>
      </c>
    </row>
    <row r="169" spans="1:1" hidden="1" x14ac:dyDescent="0.25">
      <c r="A169" s="139" t="s">
        <v>451</v>
      </c>
    </row>
    <row r="170" spans="1:1" hidden="1" x14ac:dyDescent="0.25">
      <c r="A170" s="860" t="s">
        <v>450</v>
      </c>
    </row>
    <row r="171" spans="1:1" hidden="1" x14ac:dyDescent="0.25">
      <c r="A171" s="861" t="s">
        <v>456</v>
      </c>
    </row>
    <row r="172" spans="1:1" hidden="1" x14ac:dyDescent="0.25">
      <c r="A172" s="860" t="s">
        <v>457</v>
      </c>
    </row>
    <row r="173" spans="1:1" hidden="1" x14ac:dyDescent="0.25">
      <c r="A173" s="139" t="s">
        <v>453</v>
      </c>
    </row>
    <row r="174" spans="1:1" ht="47.25" hidden="1" x14ac:dyDescent="0.25">
      <c r="A174" s="858" t="s">
        <v>454</v>
      </c>
    </row>
    <row r="175" spans="1:1" hidden="1" x14ac:dyDescent="0.25">
      <c r="A175" s="139" t="s">
        <v>455</v>
      </c>
    </row>
    <row r="176" spans="1:1" ht="78.75" hidden="1" x14ac:dyDescent="0.25">
      <c r="A176" s="858" t="s">
        <v>458</v>
      </c>
    </row>
    <row r="177" spans="1:7" x14ac:dyDescent="0.25">
      <c r="E177" s="760"/>
      <c r="F177" s="763"/>
    </row>
    <row r="180" spans="1:7" hidden="1" x14ac:dyDescent="0.25">
      <c r="A180" s="758" t="s">
        <v>428</v>
      </c>
      <c r="B180" s="758" t="s">
        <v>100</v>
      </c>
      <c r="C180" s="758" t="s">
        <v>50</v>
      </c>
      <c r="D180" s="862" t="s">
        <v>111</v>
      </c>
      <c r="E180" s="862" t="s">
        <v>221</v>
      </c>
    </row>
    <row r="181" spans="1:7" hidden="1" x14ac:dyDescent="0.25">
      <c r="A181" s="856" t="s">
        <v>222</v>
      </c>
      <c r="B181" s="252" t="e">
        <f>#REF!+#REF!</f>
        <v>#REF!</v>
      </c>
      <c r="C181" s="251" t="e">
        <f>#REF!+#REF!</f>
        <v>#REF!</v>
      </c>
      <c r="D181" s="248" t="e">
        <f>#REF!+#REF!</f>
        <v>#REF!</v>
      </c>
      <c r="E181" s="248" t="e">
        <f t="shared" ref="E181:E187" si="0">SUM(B181:D181)</f>
        <v>#REF!</v>
      </c>
      <c r="F181" s="760" t="e">
        <f>#REF!+#REF!+#REF!+#REF!+#REF!+#REF!+#REF!+#REF!+#REF!+#REF!+#REF!+#REF!+#REF!+#REF!+#REF!+#REF!+#REF!+#REF!+E5+E19+E50+E99+E113+E138+E36</f>
        <v>#REF!</v>
      </c>
      <c r="G181" s="873"/>
    </row>
    <row r="182" spans="1:7" hidden="1" x14ac:dyDescent="0.25">
      <c r="A182" s="754" t="s">
        <v>12</v>
      </c>
      <c r="B182" s="863" t="e">
        <f>#REF!+#REF!</f>
        <v>#REF!</v>
      </c>
      <c r="C182" s="19" t="e">
        <f>#REF!+#REF!</f>
        <v>#REF!</v>
      </c>
      <c r="D182" s="201" t="e">
        <f>#REF!+#REF!</f>
        <v>#REF!</v>
      </c>
      <c r="E182" s="248" t="e">
        <f t="shared" si="0"/>
        <v>#REF!</v>
      </c>
      <c r="F182" s="760" t="e">
        <f>#REF!+#REF!+#REF!+#REF!+#REF!+#REF!+#REF!+#REF!+E20+E139+E37</f>
        <v>#REF!</v>
      </c>
    </row>
    <row r="183" spans="1:7" ht="31.5" hidden="1" x14ac:dyDescent="0.25">
      <c r="A183" s="754" t="s">
        <v>11</v>
      </c>
      <c r="B183" s="252" t="e">
        <f>#REF!+#REF!</f>
        <v>#REF!</v>
      </c>
      <c r="C183" s="251" t="e">
        <f>#REF!+#REF!</f>
        <v>#REF!</v>
      </c>
      <c r="D183" s="248" t="e">
        <f>#REF!+#REF!</f>
        <v>#REF!</v>
      </c>
      <c r="E183" s="248" t="e">
        <f t="shared" si="0"/>
        <v>#REF!</v>
      </c>
      <c r="F183" s="760" t="e">
        <f>#REF!+#REF!+#REF!+#REF!+#REF!+#REF!+#REF!+#REF!+#REF!+#REF!+E6+E21+E114</f>
        <v>#REF!</v>
      </c>
      <c r="G183" s="873"/>
    </row>
    <row r="184" spans="1:7" hidden="1" x14ac:dyDescent="0.25">
      <c r="A184" s="755" t="s">
        <v>10</v>
      </c>
      <c r="B184" s="252" t="e">
        <f>#REF!+#REF!</f>
        <v>#REF!</v>
      </c>
      <c r="C184" s="251" t="e">
        <f>#REF!+#REF!</f>
        <v>#REF!</v>
      </c>
      <c r="D184" s="248" t="e">
        <f>#REF!+#REF!</f>
        <v>#REF!</v>
      </c>
      <c r="E184" s="248" t="e">
        <f t="shared" si="0"/>
        <v>#REF!</v>
      </c>
      <c r="F184" s="760" t="e">
        <f>#REF!+#REF!+#REF!+#REF!+#REF!+#REF!+#REF!+#REF!+#REF!+#REF!+#REF!+#REF!+E7+E22+E51+E100+E115+E128+E38</f>
        <v>#REF!</v>
      </c>
    </row>
    <row r="185" spans="1:7" hidden="1" x14ac:dyDescent="0.25">
      <c r="A185" s="755" t="s">
        <v>9</v>
      </c>
      <c r="B185" s="252" t="e">
        <f>#REF!+#REF!</f>
        <v>#REF!</v>
      </c>
      <c r="C185" s="251" t="e">
        <f>#REF!+#REF!</f>
        <v>#REF!</v>
      </c>
      <c r="D185" s="864" t="e">
        <f>#REF!+#REF!</f>
        <v>#REF!</v>
      </c>
      <c r="E185" s="248" t="e">
        <f t="shared" si="0"/>
        <v>#REF!</v>
      </c>
      <c r="F185" s="760" t="e">
        <f>#REF!+#REF!+#REF!+#REF!+#REF!+#REF!+#REF!+#REF!+#REF!+#REF!+#REF!+#REF!+#REF!+#REF!+#REF!+E23+E52+E101+E116+E129+E140</f>
        <v>#REF!</v>
      </c>
      <c r="G185" s="873"/>
    </row>
    <row r="186" spans="1:7" hidden="1" x14ac:dyDescent="0.25">
      <c r="A186" s="683" t="s">
        <v>8</v>
      </c>
      <c r="B186" s="252" t="e">
        <f>#REF!+#REF!</f>
        <v>#REF!</v>
      </c>
      <c r="C186" s="251" t="e">
        <f>#REF!+#REF!</f>
        <v>#REF!</v>
      </c>
      <c r="D186" s="248" t="e">
        <f>#REF!+#REF!</f>
        <v>#REF!</v>
      </c>
      <c r="E186" s="248" t="e">
        <f t="shared" si="0"/>
        <v>#REF!</v>
      </c>
      <c r="F186" s="760" t="e">
        <f>#REF!+#REF!+#REF!+#REF!+#REF!+#REF!+#REF!+#REF!+#REF!+#REF!+#REF!+#REF!+E24+#REF!</f>
        <v>#REF!</v>
      </c>
      <c r="G186" s="873"/>
    </row>
    <row r="187" spans="1:7" ht="31.5" hidden="1" x14ac:dyDescent="0.25">
      <c r="A187" s="756" t="s">
        <v>7</v>
      </c>
      <c r="B187" s="252" t="e">
        <f>#REF!+#REF!</f>
        <v>#REF!</v>
      </c>
      <c r="C187" s="251" t="e">
        <f>#REF!+#REF!</f>
        <v>#REF!</v>
      </c>
      <c r="D187" s="248" t="e">
        <f>#REF!+#REF!</f>
        <v>#REF!</v>
      </c>
      <c r="E187" s="248" t="e">
        <f t="shared" si="0"/>
        <v>#REF!</v>
      </c>
      <c r="F187" s="762" t="e">
        <f>#REF!+#REF!+#REF!+#REF!+#REF!+#REF!+#REF!+#REF!+#REF!+#REF!+#REF!+#REF!+E8+E25+E53+E117+E141</f>
        <v>#REF!</v>
      </c>
      <c r="G187" s="873"/>
    </row>
    <row r="188" spans="1:7" hidden="1" x14ac:dyDescent="0.25">
      <c r="A188" s="19" t="s">
        <v>429</v>
      </c>
      <c r="B188" s="863" t="e">
        <f>SUM(B181:B187)</f>
        <v>#REF!</v>
      </c>
      <c r="C188" s="251" t="e">
        <f>SUM(C181:C187)</f>
        <v>#REF!</v>
      </c>
      <c r="D188" s="248" t="e">
        <f>SUM(D181:D187)</f>
        <v>#REF!</v>
      </c>
      <c r="E188" s="248" t="e">
        <f>SUM(E181:E187)</f>
        <v>#REF!</v>
      </c>
      <c r="F188" s="760" t="e">
        <f>SUM(F181:F187)</f>
        <v>#REF!</v>
      </c>
      <c r="G188" s="873"/>
    </row>
    <row r="189" spans="1:7" hidden="1" x14ac:dyDescent="0.25">
      <c r="A189" s="19" t="s">
        <v>430</v>
      </c>
      <c r="B189" s="863" t="e">
        <f>0.07*B188</f>
        <v>#REF!</v>
      </c>
      <c r="C189" s="863" t="e">
        <f>0.07*C188</f>
        <v>#REF!</v>
      </c>
      <c r="D189" s="863" t="e">
        <f>0.07*D188</f>
        <v>#REF!</v>
      </c>
      <c r="E189" s="248" t="e">
        <f>0.07*E188</f>
        <v>#REF!</v>
      </c>
      <c r="F189" s="762" t="e">
        <f>0.07*F188</f>
        <v>#REF!</v>
      </c>
    </row>
    <row r="190" spans="1:7" hidden="1" x14ac:dyDescent="0.25">
      <c r="A190" s="19" t="s">
        <v>104</v>
      </c>
      <c r="B190" s="863" t="e">
        <f>SUM(B188:B189)</f>
        <v>#REF!</v>
      </c>
      <c r="C190" s="863" t="e">
        <f>SUM(C188:C189)</f>
        <v>#REF!</v>
      </c>
      <c r="D190" s="863" t="e">
        <f>SUM(D188:D189)</f>
        <v>#REF!</v>
      </c>
      <c r="E190" s="248" t="e">
        <f>E189+E188</f>
        <v>#REF!</v>
      </c>
      <c r="F190" s="760" t="e">
        <f>SUM(F188:F189)</f>
        <v>#REF!</v>
      </c>
      <c r="G190" s="873"/>
    </row>
    <row r="191" spans="1:7" hidden="1" x14ac:dyDescent="0.25"/>
    <row r="192" spans="1:7" hidden="1" x14ac:dyDescent="0.25">
      <c r="D192" s="762"/>
    </row>
  </sheetData>
  <mergeCells count="51">
    <mergeCell ref="G50:G60"/>
    <mergeCell ref="G68:G78"/>
    <mergeCell ref="G5:G11"/>
    <mergeCell ref="G19:G30"/>
    <mergeCell ref="G36:G38"/>
    <mergeCell ref="A19:A28"/>
    <mergeCell ref="A145:C145"/>
    <mergeCell ref="C5:C12"/>
    <mergeCell ref="C50:C53"/>
    <mergeCell ref="C19:C25"/>
    <mergeCell ref="A134:C134"/>
    <mergeCell ref="C99:C101"/>
    <mergeCell ref="C128:C129"/>
    <mergeCell ref="A124:C124"/>
    <mergeCell ref="C113:C117"/>
    <mergeCell ref="A32:C32"/>
    <mergeCell ref="A15:C15"/>
    <mergeCell ref="A36:A38"/>
    <mergeCell ref="A43:C43"/>
    <mergeCell ref="C36:C38"/>
    <mergeCell ref="A50:A60"/>
    <mergeCell ref="G138:G140"/>
    <mergeCell ref="G128:G131"/>
    <mergeCell ref="G113:G122"/>
    <mergeCell ref="A109:C109"/>
    <mergeCell ref="A128:A130"/>
    <mergeCell ref="A113:A120"/>
    <mergeCell ref="A138:A140"/>
    <mergeCell ref="A79:C79"/>
    <mergeCell ref="C68:C74"/>
    <mergeCell ref="C83:C90"/>
    <mergeCell ref="A95:C95"/>
    <mergeCell ref="C138:C139"/>
    <mergeCell ref="B68:B69"/>
    <mergeCell ref="A99:A105"/>
    <mergeCell ref="G1:G2"/>
    <mergeCell ref="G3:G4"/>
    <mergeCell ref="G83:G94"/>
    <mergeCell ref="G99:G105"/>
    <mergeCell ref="A68:A75"/>
    <mergeCell ref="A83:A91"/>
    <mergeCell ref="A2:E2"/>
    <mergeCell ref="D3:E3"/>
    <mergeCell ref="A1:E1"/>
    <mergeCell ref="D48:E48"/>
    <mergeCell ref="A48:B48"/>
    <mergeCell ref="C48:C49"/>
    <mergeCell ref="A3:B3"/>
    <mergeCell ref="C3:C4"/>
    <mergeCell ref="A64:C64"/>
    <mergeCell ref="A5:A11"/>
  </mergeCells>
  <pageMargins left="0.62992125984251968" right="0.23622047244094491" top="0.74803149606299213" bottom="0.74803149606299213" header="0.31496062992125984" footer="0.31496062992125984"/>
  <pageSetup paperSize="8" scale="85" fitToHeight="0" orientation="landscape" r:id="rId1"/>
  <rowBreaks count="4" manualBreakCount="4">
    <brk id="28" max="6" man="1"/>
    <brk id="47" max="6" man="1"/>
    <brk id="75" max="6" man="1"/>
    <brk id="120"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3:M28"/>
  <sheetViews>
    <sheetView topLeftCell="A13" zoomScale="75" zoomScaleNormal="75" zoomScaleSheetLayoutView="75" workbookViewId="0">
      <selection activeCell="N26" sqref="N26"/>
    </sheetView>
  </sheetViews>
  <sheetFormatPr defaultRowHeight="15" x14ac:dyDescent="0.25"/>
  <cols>
    <col min="1" max="1" width="45.42578125" style="350" customWidth="1"/>
    <col min="2" max="2" width="11.85546875" style="350" customWidth="1"/>
    <col min="3" max="3" width="10.5703125" style="350" customWidth="1"/>
    <col min="4" max="4" width="11.7109375" style="350" customWidth="1"/>
    <col min="5" max="5" width="9.42578125" style="350" customWidth="1"/>
    <col min="6" max="6" width="11" style="350" customWidth="1"/>
    <col min="7" max="7" width="10.42578125" style="261" customWidth="1"/>
    <col min="8" max="8" width="12.5703125" style="261" customWidth="1"/>
    <col min="9" max="9" width="10.85546875" style="261" customWidth="1"/>
    <col min="10" max="10" width="8.85546875" style="261" customWidth="1"/>
    <col min="11" max="11" width="8.42578125" style="261" customWidth="1"/>
    <col min="12" max="12" width="9.85546875" style="261" customWidth="1"/>
    <col min="13" max="13" width="7.85546875" style="261" customWidth="1"/>
    <col min="14" max="223" width="9.140625" style="261"/>
    <col min="224" max="224" width="15.5703125" style="261" customWidth="1"/>
    <col min="225" max="225" width="40" style="261" customWidth="1"/>
    <col min="226" max="229" width="12.7109375" style="261" customWidth="1"/>
    <col min="230" max="230" width="9.28515625" style="261" customWidth="1"/>
    <col min="231" max="234" width="12.7109375" style="261" customWidth="1"/>
    <col min="235" max="235" width="9.5703125" style="261" customWidth="1"/>
    <col min="236" max="240" width="12.7109375" style="261" customWidth="1"/>
    <col min="241" max="241" width="9.42578125" style="261" customWidth="1"/>
    <col min="242" max="242" width="12.7109375" style="261" customWidth="1"/>
    <col min="243" max="243" width="9.5703125" style="261" customWidth="1"/>
    <col min="244" max="244" width="9.7109375" style="261" bestFit="1" customWidth="1"/>
    <col min="245" max="256" width="9.140625" style="261"/>
    <col min="257" max="257" width="47.7109375" style="261" customWidth="1"/>
    <col min="258" max="258" width="13.140625" style="261" customWidth="1"/>
    <col min="259" max="259" width="10.5703125" style="261" customWidth="1"/>
    <col min="260" max="260" width="11.140625" style="261" customWidth="1"/>
    <col min="261" max="261" width="10.85546875" style="261" customWidth="1"/>
    <col min="262" max="262" width="13.85546875" style="261" customWidth="1"/>
    <col min="263" max="263" width="10" style="261" customWidth="1"/>
    <col min="264" max="264" width="10.5703125" style="261" customWidth="1"/>
    <col min="265" max="265" width="8.42578125" style="261" customWidth="1"/>
    <col min="266" max="479" width="9.140625" style="261"/>
    <col min="480" max="480" width="15.5703125" style="261" customWidth="1"/>
    <col min="481" max="481" width="40" style="261" customWidth="1"/>
    <col min="482" max="485" width="12.7109375" style="261" customWidth="1"/>
    <col min="486" max="486" width="9.28515625" style="261" customWidth="1"/>
    <col min="487" max="490" width="12.7109375" style="261" customWidth="1"/>
    <col min="491" max="491" width="9.5703125" style="261" customWidth="1"/>
    <col min="492" max="496" width="12.7109375" style="261" customWidth="1"/>
    <col min="497" max="497" width="9.42578125" style="261" customWidth="1"/>
    <col min="498" max="498" width="12.7109375" style="261" customWidth="1"/>
    <col min="499" max="499" width="9.5703125" style="261" customWidth="1"/>
    <col min="500" max="500" width="9.7109375" style="261" bestFit="1" customWidth="1"/>
    <col min="501" max="512" width="9.140625" style="261"/>
    <col min="513" max="513" width="47.7109375" style="261" customWidth="1"/>
    <col min="514" max="514" width="13.140625" style="261" customWidth="1"/>
    <col min="515" max="515" width="10.5703125" style="261" customWidth="1"/>
    <col min="516" max="516" width="11.140625" style="261" customWidth="1"/>
    <col min="517" max="517" width="10.85546875" style="261" customWidth="1"/>
    <col min="518" max="518" width="13.85546875" style="261" customWidth="1"/>
    <col min="519" max="519" width="10" style="261" customWidth="1"/>
    <col min="520" max="520" width="10.5703125" style="261" customWidth="1"/>
    <col min="521" max="521" width="8.42578125" style="261" customWidth="1"/>
    <col min="522" max="735" width="9.140625" style="261"/>
    <col min="736" max="736" width="15.5703125" style="261" customWidth="1"/>
    <col min="737" max="737" width="40" style="261" customWidth="1"/>
    <col min="738" max="741" width="12.7109375" style="261" customWidth="1"/>
    <col min="742" max="742" width="9.28515625" style="261" customWidth="1"/>
    <col min="743" max="746" width="12.7109375" style="261" customWidth="1"/>
    <col min="747" max="747" width="9.5703125" style="261" customWidth="1"/>
    <col min="748" max="752" width="12.7109375" style="261" customWidth="1"/>
    <col min="753" max="753" width="9.42578125" style="261" customWidth="1"/>
    <col min="754" max="754" width="12.7109375" style="261" customWidth="1"/>
    <col min="755" max="755" width="9.5703125" style="261" customWidth="1"/>
    <col min="756" max="756" width="9.7109375" style="261" bestFit="1" customWidth="1"/>
    <col min="757" max="768" width="9.140625" style="261"/>
    <col min="769" max="769" width="47.7109375" style="261" customWidth="1"/>
    <col min="770" max="770" width="13.140625" style="261" customWidth="1"/>
    <col min="771" max="771" width="10.5703125" style="261" customWidth="1"/>
    <col min="772" max="772" width="11.140625" style="261" customWidth="1"/>
    <col min="773" max="773" width="10.85546875" style="261" customWidth="1"/>
    <col min="774" max="774" width="13.85546875" style="261" customWidth="1"/>
    <col min="775" max="775" width="10" style="261" customWidth="1"/>
    <col min="776" max="776" width="10.5703125" style="261" customWidth="1"/>
    <col min="777" max="777" width="8.42578125" style="261" customWidth="1"/>
    <col min="778" max="991" width="9.140625" style="261"/>
    <col min="992" max="992" width="15.5703125" style="261" customWidth="1"/>
    <col min="993" max="993" width="40" style="261" customWidth="1"/>
    <col min="994" max="997" width="12.7109375" style="261" customWidth="1"/>
    <col min="998" max="998" width="9.28515625" style="261" customWidth="1"/>
    <col min="999" max="1002" width="12.7109375" style="261" customWidth="1"/>
    <col min="1003" max="1003" width="9.5703125" style="261" customWidth="1"/>
    <col min="1004" max="1008" width="12.7109375" style="261" customWidth="1"/>
    <col min="1009" max="1009" width="9.42578125" style="261" customWidth="1"/>
    <col min="1010" max="1010" width="12.7109375" style="261" customWidth="1"/>
    <col min="1011" max="1011" width="9.5703125" style="261" customWidth="1"/>
    <col min="1012" max="1012" width="9.7109375" style="261" bestFit="1" customWidth="1"/>
    <col min="1013" max="1024" width="9.140625" style="261"/>
    <col min="1025" max="1025" width="47.7109375" style="261" customWidth="1"/>
    <col min="1026" max="1026" width="13.140625" style="261" customWidth="1"/>
    <col min="1027" max="1027" width="10.5703125" style="261" customWidth="1"/>
    <col min="1028" max="1028" width="11.140625" style="261" customWidth="1"/>
    <col min="1029" max="1029" width="10.85546875" style="261" customWidth="1"/>
    <col min="1030" max="1030" width="13.85546875" style="261" customWidth="1"/>
    <col min="1031" max="1031" width="10" style="261" customWidth="1"/>
    <col min="1032" max="1032" width="10.5703125" style="261" customWidth="1"/>
    <col min="1033" max="1033" width="8.42578125" style="261" customWidth="1"/>
    <col min="1034" max="1247" width="9.140625" style="261"/>
    <col min="1248" max="1248" width="15.5703125" style="261" customWidth="1"/>
    <col min="1249" max="1249" width="40" style="261" customWidth="1"/>
    <col min="1250" max="1253" width="12.7109375" style="261" customWidth="1"/>
    <col min="1254" max="1254" width="9.28515625" style="261" customWidth="1"/>
    <col min="1255" max="1258" width="12.7109375" style="261" customWidth="1"/>
    <col min="1259" max="1259" width="9.5703125" style="261" customWidth="1"/>
    <col min="1260" max="1264" width="12.7109375" style="261" customWidth="1"/>
    <col min="1265" max="1265" width="9.42578125" style="261" customWidth="1"/>
    <col min="1266" max="1266" width="12.7109375" style="261" customWidth="1"/>
    <col min="1267" max="1267" width="9.5703125" style="261" customWidth="1"/>
    <col min="1268" max="1268" width="9.7109375" style="261" bestFit="1" customWidth="1"/>
    <col min="1269" max="1280" width="9.140625" style="261"/>
    <col min="1281" max="1281" width="47.7109375" style="261" customWidth="1"/>
    <col min="1282" max="1282" width="13.140625" style="261" customWidth="1"/>
    <col min="1283" max="1283" width="10.5703125" style="261" customWidth="1"/>
    <col min="1284" max="1284" width="11.140625" style="261" customWidth="1"/>
    <col min="1285" max="1285" width="10.85546875" style="261" customWidth="1"/>
    <col min="1286" max="1286" width="13.85546875" style="261" customWidth="1"/>
    <col min="1287" max="1287" width="10" style="261" customWidth="1"/>
    <col min="1288" max="1288" width="10.5703125" style="261" customWidth="1"/>
    <col min="1289" max="1289" width="8.42578125" style="261" customWidth="1"/>
    <col min="1290" max="1503" width="9.140625" style="261"/>
    <col min="1504" max="1504" width="15.5703125" style="261" customWidth="1"/>
    <col min="1505" max="1505" width="40" style="261" customWidth="1"/>
    <col min="1506" max="1509" width="12.7109375" style="261" customWidth="1"/>
    <col min="1510" max="1510" width="9.28515625" style="261" customWidth="1"/>
    <col min="1511" max="1514" width="12.7109375" style="261" customWidth="1"/>
    <col min="1515" max="1515" width="9.5703125" style="261" customWidth="1"/>
    <col min="1516" max="1520" width="12.7109375" style="261" customWidth="1"/>
    <col min="1521" max="1521" width="9.42578125" style="261" customWidth="1"/>
    <col min="1522" max="1522" width="12.7109375" style="261" customWidth="1"/>
    <col min="1523" max="1523" width="9.5703125" style="261" customWidth="1"/>
    <col min="1524" max="1524" width="9.7109375" style="261" bestFit="1" customWidth="1"/>
    <col min="1525" max="1536" width="9.140625" style="261"/>
    <col min="1537" max="1537" width="47.7109375" style="261" customWidth="1"/>
    <col min="1538" max="1538" width="13.140625" style="261" customWidth="1"/>
    <col min="1539" max="1539" width="10.5703125" style="261" customWidth="1"/>
    <col min="1540" max="1540" width="11.140625" style="261" customWidth="1"/>
    <col min="1541" max="1541" width="10.85546875" style="261" customWidth="1"/>
    <col min="1542" max="1542" width="13.85546875" style="261" customWidth="1"/>
    <col min="1543" max="1543" width="10" style="261" customWidth="1"/>
    <col min="1544" max="1544" width="10.5703125" style="261" customWidth="1"/>
    <col min="1545" max="1545" width="8.42578125" style="261" customWidth="1"/>
    <col min="1546" max="1759" width="9.140625" style="261"/>
    <col min="1760" max="1760" width="15.5703125" style="261" customWidth="1"/>
    <col min="1761" max="1761" width="40" style="261" customWidth="1"/>
    <col min="1762" max="1765" width="12.7109375" style="261" customWidth="1"/>
    <col min="1766" max="1766" width="9.28515625" style="261" customWidth="1"/>
    <col min="1767" max="1770" width="12.7109375" style="261" customWidth="1"/>
    <col min="1771" max="1771" width="9.5703125" style="261" customWidth="1"/>
    <col min="1772" max="1776" width="12.7109375" style="261" customWidth="1"/>
    <col min="1777" max="1777" width="9.42578125" style="261" customWidth="1"/>
    <col min="1778" max="1778" width="12.7109375" style="261" customWidth="1"/>
    <col min="1779" max="1779" width="9.5703125" style="261" customWidth="1"/>
    <col min="1780" max="1780" width="9.7109375" style="261" bestFit="1" customWidth="1"/>
    <col min="1781" max="1792" width="9.140625" style="261"/>
    <col min="1793" max="1793" width="47.7109375" style="261" customWidth="1"/>
    <col min="1794" max="1794" width="13.140625" style="261" customWidth="1"/>
    <col min="1795" max="1795" width="10.5703125" style="261" customWidth="1"/>
    <col min="1796" max="1796" width="11.140625" style="261" customWidth="1"/>
    <col min="1797" max="1797" width="10.85546875" style="261" customWidth="1"/>
    <col min="1798" max="1798" width="13.85546875" style="261" customWidth="1"/>
    <col min="1799" max="1799" width="10" style="261" customWidth="1"/>
    <col min="1800" max="1800" width="10.5703125" style="261" customWidth="1"/>
    <col min="1801" max="1801" width="8.42578125" style="261" customWidth="1"/>
    <col min="1802" max="2015" width="9.140625" style="261"/>
    <col min="2016" max="2016" width="15.5703125" style="261" customWidth="1"/>
    <col min="2017" max="2017" width="40" style="261" customWidth="1"/>
    <col min="2018" max="2021" width="12.7109375" style="261" customWidth="1"/>
    <col min="2022" max="2022" width="9.28515625" style="261" customWidth="1"/>
    <col min="2023" max="2026" width="12.7109375" style="261" customWidth="1"/>
    <col min="2027" max="2027" width="9.5703125" style="261" customWidth="1"/>
    <col min="2028" max="2032" width="12.7109375" style="261" customWidth="1"/>
    <col min="2033" max="2033" width="9.42578125" style="261" customWidth="1"/>
    <col min="2034" max="2034" width="12.7109375" style="261" customWidth="1"/>
    <col min="2035" max="2035" width="9.5703125" style="261" customWidth="1"/>
    <col min="2036" max="2036" width="9.7109375" style="261" bestFit="1" customWidth="1"/>
    <col min="2037" max="2048" width="9.140625" style="261"/>
    <col min="2049" max="2049" width="47.7109375" style="261" customWidth="1"/>
    <col min="2050" max="2050" width="13.140625" style="261" customWidth="1"/>
    <col min="2051" max="2051" width="10.5703125" style="261" customWidth="1"/>
    <col min="2052" max="2052" width="11.140625" style="261" customWidth="1"/>
    <col min="2053" max="2053" width="10.85546875" style="261" customWidth="1"/>
    <col min="2054" max="2054" width="13.85546875" style="261" customWidth="1"/>
    <col min="2055" max="2055" width="10" style="261" customWidth="1"/>
    <col min="2056" max="2056" width="10.5703125" style="261" customWidth="1"/>
    <col min="2057" max="2057" width="8.42578125" style="261" customWidth="1"/>
    <col min="2058" max="2271" width="9.140625" style="261"/>
    <col min="2272" max="2272" width="15.5703125" style="261" customWidth="1"/>
    <col min="2273" max="2273" width="40" style="261" customWidth="1"/>
    <col min="2274" max="2277" width="12.7109375" style="261" customWidth="1"/>
    <col min="2278" max="2278" width="9.28515625" style="261" customWidth="1"/>
    <col min="2279" max="2282" width="12.7109375" style="261" customWidth="1"/>
    <col min="2283" max="2283" width="9.5703125" style="261" customWidth="1"/>
    <col min="2284" max="2288" width="12.7109375" style="261" customWidth="1"/>
    <col min="2289" max="2289" width="9.42578125" style="261" customWidth="1"/>
    <col min="2290" max="2290" width="12.7109375" style="261" customWidth="1"/>
    <col min="2291" max="2291" width="9.5703125" style="261" customWidth="1"/>
    <col min="2292" max="2292" width="9.7109375" style="261" bestFit="1" customWidth="1"/>
    <col min="2293" max="2304" width="9.140625" style="261"/>
    <col min="2305" max="2305" width="47.7109375" style="261" customWidth="1"/>
    <col min="2306" max="2306" width="13.140625" style="261" customWidth="1"/>
    <col min="2307" max="2307" width="10.5703125" style="261" customWidth="1"/>
    <col min="2308" max="2308" width="11.140625" style="261" customWidth="1"/>
    <col min="2309" max="2309" width="10.85546875" style="261" customWidth="1"/>
    <col min="2310" max="2310" width="13.85546875" style="261" customWidth="1"/>
    <col min="2311" max="2311" width="10" style="261" customWidth="1"/>
    <col min="2312" max="2312" width="10.5703125" style="261" customWidth="1"/>
    <col min="2313" max="2313" width="8.42578125" style="261" customWidth="1"/>
    <col min="2314" max="2527" width="9.140625" style="261"/>
    <col min="2528" max="2528" width="15.5703125" style="261" customWidth="1"/>
    <col min="2529" max="2529" width="40" style="261" customWidth="1"/>
    <col min="2530" max="2533" width="12.7109375" style="261" customWidth="1"/>
    <col min="2534" max="2534" width="9.28515625" style="261" customWidth="1"/>
    <col min="2535" max="2538" width="12.7109375" style="261" customWidth="1"/>
    <col min="2539" max="2539" width="9.5703125" style="261" customWidth="1"/>
    <col min="2540" max="2544" width="12.7109375" style="261" customWidth="1"/>
    <col min="2545" max="2545" width="9.42578125" style="261" customWidth="1"/>
    <col min="2546" max="2546" width="12.7109375" style="261" customWidth="1"/>
    <col min="2547" max="2547" width="9.5703125" style="261" customWidth="1"/>
    <col min="2548" max="2548" width="9.7109375" style="261" bestFit="1" customWidth="1"/>
    <col min="2549" max="2560" width="9.140625" style="261"/>
    <col min="2561" max="2561" width="47.7109375" style="261" customWidth="1"/>
    <col min="2562" max="2562" width="13.140625" style="261" customWidth="1"/>
    <col min="2563" max="2563" width="10.5703125" style="261" customWidth="1"/>
    <col min="2564" max="2564" width="11.140625" style="261" customWidth="1"/>
    <col min="2565" max="2565" width="10.85546875" style="261" customWidth="1"/>
    <col min="2566" max="2566" width="13.85546875" style="261" customWidth="1"/>
    <col min="2567" max="2567" width="10" style="261" customWidth="1"/>
    <col min="2568" max="2568" width="10.5703125" style="261" customWidth="1"/>
    <col min="2569" max="2569" width="8.42578125" style="261" customWidth="1"/>
    <col min="2570" max="2783" width="9.140625" style="261"/>
    <col min="2784" max="2784" width="15.5703125" style="261" customWidth="1"/>
    <col min="2785" max="2785" width="40" style="261" customWidth="1"/>
    <col min="2786" max="2789" width="12.7109375" style="261" customWidth="1"/>
    <col min="2790" max="2790" width="9.28515625" style="261" customWidth="1"/>
    <col min="2791" max="2794" width="12.7109375" style="261" customWidth="1"/>
    <col min="2795" max="2795" width="9.5703125" style="261" customWidth="1"/>
    <col min="2796" max="2800" width="12.7109375" style="261" customWidth="1"/>
    <col min="2801" max="2801" width="9.42578125" style="261" customWidth="1"/>
    <col min="2802" max="2802" width="12.7109375" style="261" customWidth="1"/>
    <col min="2803" max="2803" width="9.5703125" style="261" customWidth="1"/>
    <col min="2804" max="2804" width="9.7109375" style="261" bestFit="1" customWidth="1"/>
    <col min="2805" max="2816" width="9.140625" style="261"/>
    <col min="2817" max="2817" width="47.7109375" style="261" customWidth="1"/>
    <col min="2818" max="2818" width="13.140625" style="261" customWidth="1"/>
    <col min="2819" max="2819" width="10.5703125" style="261" customWidth="1"/>
    <col min="2820" max="2820" width="11.140625" style="261" customWidth="1"/>
    <col min="2821" max="2821" width="10.85546875" style="261" customWidth="1"/>
    <col min="2822" max="2822" width="13.85546875" style="261" customWidth="1"/>
    <col min="2823" max="2823" width="10" style="261" customWidth="1"/>
    <col min="2824" max="2824" width="10.5703125" style="261" customWidth="1"/>
    <col min="2825" max="2825" width="8.42578125" style="261" customWidth="1"/>
    <col min="2826" max="3039" width="9.140625" style="261"/>
    <col min="3040" max="3040" width="15.5703125" style="261" customWidth="1"/>
    <col min="3041" max="3041" width="40" style="261" customWidth="1"/>
    <col min="3042" max="3045" width="12.7109375" style="261" customWidth="1"/>
    <col min="3046" max="3046" width="9.28515625" style="261" customWidth="1"/>
    <col min="3047" max="3050" width="12.7109375" style="261" customWidth="1"/>
    <col min="3051" max="3051" width="9.5703125" style="261" customWidth="1"/>
    <col min="3052" max="3056" width="12.7109375" style="261" customWidth="1"/>
    <col min="3057" max="3057" width="9.42578125" style="261" customWidth="1"/>
    <col min="3058" max="3058" width="12.7109375" style="261" customWidth="1"/>
    <col min="3059" max="3059" width="9.5703125" style="261" customWidth="1"/>
    <col min="3060" max="3060" width="9.7109375" style="261" bestFit="1" customWidth="1"/>
    <col min="3061" max="3072" width="9.140625" style="261"/>
    <col min="3073" max="3073" width="47.7109375" style="261" customWidth="1"/>
    <col min="3074" max="3074" width="13.140625" style="261" customWidth="1"/>
    <col min="3075" max="3075" width="10.5703125" style="261" customWidth="1"/>
    <col min="3076" max="3076" width="11.140625" style="261" customWidth="1"/>
    <col min="3077" max="3077" width="10.85546875" style="261" customWidth="1"/>
    <col min="3078" max="3078" width="13.85546875" style="261" customWidth="1"/>
    <col min="3079" max="3079" width="10" style="261" customWidth="1"/>
    <col min="3080" max="3080" width="10.5703125" style="261" customWidth="1"/>
    <col min="3081" max="3081" width="8.42578125" style="261" customWidth="1"/>
    <col min="3082" max="3295" width="9.140625" style="261"/>
    <col min="3296" max="3296" width="15.5703125" style="261" customWidth="1"/>
    <col min="3297" max="3297" width="40" style="261" customWidth="1"/>
    <col min="3298" max="3301" width="12.7109375" style="261" customWidth="1"/>
    <col min="3302" max="3302" width="9.28515625" style="261" customWidth="1"/>
    <col min="3303" max="3306" width="12.7109375" style="261" customWidth="1"/>
    <col min="3307" max="3307" width="9.5703125" style="261" customWidth="1"/>
    <col min="3308" max="3312" width="12.7109375" style="261" customWidth="1"/>
    <col min="3313" max="3313" width="9.42578125" style="261" customWidth="1"/>
    <col min="3314" max="3314" width="12.7109375" style="261" customWidth="1"/>
    <col min="3315" max="3315" width="9.5703125" style="261" customWidth="1"/>
    <col min="3316" max="3316" width="9.7109375" style="261" bestFit="1" customWidth="1"/>
    <col min="3317" max="3328" width="9.140625" style="261"/>
    <col min="3329" max="3329" width="47.7109375" style="261" customWidth="1"/>
    <col min="3330" max="3330" width="13.140625" style="261" customWidth="1"/>
    <col min="3331" max="3331" width="10.5703125" style="261" customWidth="1"/>
    <col min="3332" max="3332" width="11.140625" style="261" customWidth="1"/>
    <col min="3333" max="3333" width="10.85546875" style="261" customWidth="1"/>
    <col min="3334" max="3334" width="13.85546875" style="261" customWidth="1"/>
    <col min="3335" max="3335" width="10" style="261" customWidth="1"/>
    <col min="3336" max="3336" width="10.5703125" style="261" customWidth="1"/>
    <col min="3337" max="3337" width="8.42578125" style="261" customWidth="1"/>
    <col min="3338" max="3551" width="9.140625" style="261"/>
    <col min="3552" max="3552" width="15.5703125" style="261" customWidth="1"/>
    <col min="3553" max="3553" width="40" style="261" customWidth="1"/>
    <col min="3554" max="3557" width="12.7109375" style="261" customWidth="1"/>
    <col min="3558" max="3558" width="9.28515625" style="261" customWidth="1"/>
    <col min="3559" max="3562" width="12.7109375" style="261" customWidth="1"/>
    <col min="3563" max="3563" width="9.5703125" style="261" customWidth="1"/>
    <col min="3564" max="3568" width="12.7109375" style="261" customWidth="1"/>
    <col min="3569" max="3569" width="9.42578125" style="261" customWidth="1"/>
    <col min="3570" max="3570" width="12.7109375" style="261" customWidth="1"/>
    <col min="3571" max="3571" width="9.5703125" style="261" customWidth="1"/>
    <col min="3572" max="3572" width="9.7109375" style="261" bestFit="1" customWidth="1"/>
    <col min="3573" max="3584" width="9.140625" style="261"/>
    <col min="3585" max="3585" width="47.7109375" style="261" customWidth="1"/>
    <col min="3586" max="3586" width="13.140625" style="261" customWidth="1"/>
    <col min="3587" max="3587" width="10.5703125" style="261" customWidth="1"/>
    <col min="3588" max="3588" width="11.140625" style="261" customWidth="1"/>
    <col min="3589" max="3589" width="10.85546875" style="261" customWidth="1"/>
    <col min="3590" max="3590" width="13.85546875" style="261" customWidth="1"/>
    <col min="3591" max="3591" width="10" style="261" customWidth="1"/>
    <col min="3592" max="3592" width="10.5703125" style="261" customWidth="1"/>
    <col min="3593" max="3593" width="8.42578125" style="261" customWidth="1"/>
    <col min="3594" max="3807" width="9.140625" style="261"/>
    <col min="3808" max="3808" width="15.5703125" style="261" customWidth="1"/>
    <col min="3809" max="3809" width="40" style="261" customWidth="1"/>
    <col min="3810" max="3813" width="12.7109375" style="261" customWidth="1"/>
    <col min="3814" max="3814" width="9.28515625" style="261" customWidth="1"/>
    <col min="3815" max="3818" width="12.7109375" style="261" customWidth="1"/>
    <col min="3819" max="3819" width="9.5703125" style="261" customWidth="1"/>
    <col min="3820" max="3824" width="12.7109375" style="261" customWidth="1"/>
    <col min="3825" max="3825" width="9.42578125" style="261" customWidth="1"/>
    <col min="3826" max="3826" width="12.7109375" style="261" customWidth="1"/>
    <col min="3827" max="3827" width="9.5703125" style="261" customWidth="1"/>
    <col min="3828" max="3828" width="9.7109375" style="261" bestFit="1" customWidth="1"/>
    <col min="3829" max="3840" width="9.140625" style="261"/>
    <col min="3841" max="3841" width="47.7109375" style="261" customWidth="1"/>
    <col min="3842" max="3842" width="13.140625" style="261" customWidth="1"/>
    <col min="3843" max="3843" width="10.5703125" style="261" customWidth="1"/>
    <col min="3844" max="3844" width="11.140625" style="261" customWidth="1"/>
    <col min="3845" max="3845" width="10.85546875" style="261" customWidth="1"/>
    <col min="3846" max="3846" width="13.85546875" style="261" customWidth="1"/>
    <col min="3847" max="3847" width="10" style="261" customWidth="1"/>
    <col min="3848" max="3848" width="10.5703125" style="261" customWidth="1"/>
    <col min="3849" max="3849" width="8.42578125" style="261" customWidth="1"/>
    <col min="3850" max="4063" width="9.140625" style="261"/>
    <col min="4064" max="4064" width="15.5703125" style="261" customWidth="1"/>
    <col min="4065" max="4065" width="40" style="261" customWidth="1"/>
    <col min="4066" max="4069" width="12.7109375" style="261" customWidth="1"/>
    <col min="4070" max="4070" width="9.28515625" style="261" customWidth="1"/>
    <col min="4071" max="4074" width="12.7109375" style="261" customWidth="1"/>
    <col min="4075" max="4075" width="9.5703125" style="261" customWidth="1"/>
    <col min="4076" max="4080" width="12.7109375" style="261" customWidth="1"/>
    <col min="4081" max="4081" width="9.42578125" style="261" customWidth="1"/>
    <col min="4082" max="4082" width="12.7109375" style="261" customWidth="1"/>
    <col min="4083" max="4083" width="9.5703125" style="261" customWidth="1"/>
    <col min="4084" max="4084" width="9.7109375" style="261" bestFit="1" customWidth="1"/>
    <col min="4085" max="4096" width="9.140625" style="261"/>
    <col min="4097" max="4097" width="47.7109375" style="261" customWidth="1"/>
    <col min="4098" max="4098" width="13.140625" style="261" customWidth="1"/>
    <col min="4099" max="4099" width="10.5703125" style="261" customWidth="1"/>
    <col min="4100" max="4100" width="11.140625" style="261" customWidth="1"/>
    <col min="4101" max="4101" width="10.85546875" style="261" customWidth="1"/>
    <col min="4102" max="4102" width="13.85546875" style="261" customWidth="1"/>
    <col min="4103" max="4103" width="10" style="261" customWidth="1"/>
    <col min="4104" max="4104" width="10.5703125" style="261" customWidth="1"/>
    <col min="4105" max="4105" width="8.42578125" style="261" customWidth="1"/>
    <col min="4106" max="4319" width="9.140625" style="261"/>
    <col min="4320" max="4320" width="15.5703125" style="261" customWidth="1"/>
    <col min="4321" max="4321" width="40" style="261" customWidth="1"/>
    <col min="4322" max="4325" width="12.7109375" style="261" customWidth="1"/>
    <col min="4326" max="4326" width="9.28515625" style="261" customWidth="1"/>
    <col min="4327" max="4330" width="12.7109375" style="261" customWidth="1"/>
    <col min="4331" max="4331" width="9.5703125" style="261" customWidth="1"/>
    <col min="4332" max="4336" width="12.7109375" style="261" customWidth="1"/>
    <col min="4337" max="4337" width="9.42578125" style="261" customWidth="1"/>
    <col min="4338" max="4338" width="12.7109375" style="261" customWidth="1"/>
    <col min="4339" max="4339" width="9.5703125" style="261" customWidth="1"/>
    <col min="4340" max="4340" width="9.7109375" style="261" bestFit="1" customWidth="1"/>
    <col min="4341" max="4352" width="9.140625" style="261"/>
    <col min="4353" max="4353" width="47.7109375" style="261" customWidth="1"/>
    <col min="4354" max="4354" width="13.140625" style="261" customWidth="1"/>
    <col min="4355" max="4355" width="10.5703125" style="261" customWidth="1"/>
    <col min="4356" max="4356" width="11.140625" style="261" customWidth="1"/>
    <col min="4357" max="4357" width="10.85546875" style="261" customWidth="1"/>
    <col min="4358" max="4358" width="13.85546875" style="261" customWidth="1"/>
    <col min="4359" max="4359" width="10" style="261" customWidth="1"/>
    <col min="4360" max="4360" width="10.5703125" style="261" customWidth="1"/>
    <col min="4361" max="4361" width="8.42578125" style="261" customWidth="1"/>
    <col min="4362" max="4575" width="9.140625" style="261"/>
    <col min="4576" max="4576" width="15.5703125" style="261" customWidth="1"/>
    <col min="4577" max="4577" width="40" style="261" customWidth="1"/>
    <col min="4578" max="4581" width="12.7109375" style="261" customWidth="1"/>
    <col min="4582" max="4582" width="9.28515625" style="261" customWidth="1"/>
    <col min="4583" max="4586" width="12.7109375" style="261" customWidth="1"/>
    <col min="4587" max="4587" width="9.5703125" style="261" customWidth="1"/>
    <col min="4588" max="4592" width="12.7109375" style="261" customWidth="1"/>
    <col min="4593" max="4593" width="9.42578125" style="261" customWidth="1"/>
    <col min="4594" max="4594" width="12.7109375" style="261" customWidth="1"/>
    <col min="4595" max="4595" width="9.5703125" style="261" customWidth="1"/>
    <col min="4596" max="4596" width="9.7109375" style="261" bestFit="1" customWidth="1"/>
    <col min="4597" max="4608" width="9.140625" style="261"/>
    <col min="4609" max="4609" width="47.7109375" style="261" customWidth="1"/>
    <col min="4610" max="4610" width="13.140625" style="261" customWidth="1"/>
    <col min="4611" max="4611" width="10.5703125" style="261" customWidth="1"/>
    <col min="4612" max="4612" width="11.140625" style="261" customWidth="1"/>
    <col min="4613" max="4613" width="10.85546875" style="261" customWidth="1"/>
    <col min="4614" max="4614" width="13.85546875" style="261" customWidth="1"/>
    <col min="4615" max="4615" width="10" style="261" customWidth="1"/>
    <col min="4616" max="4616" width="10.5703125" style="261" customWidth="1"/>
    <col min="4617" max="4617" width="8.42578125" style="261" customWidth="1"/>
    <col min="4618" max="4831" width="9.140625" style="261"/>
    <col min="4832" max="4832" width="15.5703125" style="261" customWidth="1"/>
    <col min="4833" max="4833" width="40" style="261" customWidth="1"/>
    <col min="4834" max="4837" width="12.7109375" style="261" customWidth="1"/>
    <col min="4838" max="4838" width="9.28515625" style="261" customWidth="1"/>
    <col min="4839" max="4842" width="12.7109375" style="261" customWidth="1"/>
    <col min="4843" max="4843" width="9.5703125" style="261" customWidth="1"/>
    <col min="4844" max="4848" width="12.7109375" style="261" customWidth="1"/>
    <col min="4849" max="4849" width="9.42578125" style="261" customWidth="1"/>
    <col min="4850" max="4850" width="12.7109375" style="261" customWidth="1"/>
    <col min="4851" max="4851" width="9.5703125" style="261" customWidth="1"/>
    <col min="4852" max="4852" width="9.7109375" style="261" bestFit="1" customWidth="1"/>
    <col min="4853" max="4864" width="9.140625" style="261"/>
    <col min="4865" max="4865" width="47.7109375" style="261" customWidth="1"/>
    <col min="4866" max="4866" width="13.140625" style="261" customWidth="1"/>
    <col min="4867" max="4867" width="10.5703125" style="261" customWidth="1"/>
    <col min="4868" max="4868" width="11.140625" style="261" customWidth="1"/>
    <col min="4869" max="4869" width="10.85546875" style="261" customWidth="1"/>
    <col min="4870" max="4870" width="13.85546875" style="261" customWidth="1"/>
    <col min="4871" max="4871" width="10" style="261" customWidth="1"/>
    <col min="4872" max="4872" width="10.5703125" style="261" customWidth="1"/>
    <col min="4873" max="4873" width="8.42578125" style="261" customWidth="1"/>
    <col min="4874" max="5087" width="9.140625" style="261"/>
    <col min="5088" max="5088" width="15.5703125" style="261" customWidth="1"/>
    <col min="5089" max="5089" width="40" style="261" customWidth="1"/>
    <col min="5090" max="5093" width="12.7109375" style="261" customWidth="1"/>
    <col min="5094" max="5094" width="9.28515625" style="261" customWidth="1"/>
    <col min="5095" max="5098" width="12.7109375" style="261" customWidth="1"/>
    <col min="5099" max="5099" width="9.5703125" style="261" customWidth="1"/>
    <col min="5100" max="5104" width="12.7109375" style="261" customWidth="1"/>
    <col min="5105" max="5105" width="9.42578125" style="261" customWidth="1"/>
    <col min="5106" max="5106" width="12.7109375" style="261" customWidth="1"/>
    <col min="5107" max="5107" width="9.5703125" style="261" customWidth="1"/>
    <col min="5108" max="5108" width="9.7109375" style="261" bestFit="1" customWidth="1"/>
    <col min="5109" max="5120" width="9.140625" style="261"/>
    <col min="5121" max="5121" width="47.7109375" style="261" customWidth="1"/>
    <col min="5122" max="5122" width="13.140625" style="261" customWidth="1"/>
    <col min="5123" max="5123" width="10.5703125" style="261" customWidth="1"/>
    <col min="5124" max="5124" width="11.140625" style="261" customWidth="1"/>
    <col min="5125" max="5125" width="10.85546875" style="261" customWidth="1"/>
    <col min="5126" max="5126" width="13.85546875" style="261" customWidth="1"/>
    <col min="5127" max="5127" width="10" style="261" customWidth="1"/>
    <col min="5128" max="5128" width="10.5703125" style="261" customWidth="1"/>
    <col min="5129" max="5129" width="8.42578125" style="261" customWidth="1"/>
    <col min="5130" max="5343" width="9.140625" style="261"/>
    <col min="5344" max="5344" width="15.5703125" style="261" customWidth="1"/>
    <col min="5345" max="5345" width="40" style="261" customWidth="1"/>
    <col min="5346" max="5349" width="12.7109375" style="261" customWidth="1"/>
    <col min="5350" max="5350" width="9.28515625" style="261" customWidth="1"/>
    <col min="5351" max="5354" width="12.7109375" style="261" customWidth="1"/>
    <col min="5355" max="5355" width="9.5703125" style="261" customWidth="1"/>
    <col min="5356" max="5360" width="12.7109375" style="261" customWidth="1"/>
    <col min="5361" max="5361" width="9.42578125" style="261" customWidth="1"/>
    <col min="5362" max="5362" width="12.7109375" style="261" customWidth="1"/>
    <col min="5363" max="5363" width="9.5703125" style="261" customWidth="1"/>
    <col min="5364" max="5364" width="9.7109375" style="261" bestFit="1" customWidth="1"/>
    <col min="5365" max="5376" width="9.140625" style="261"/>
    <col min="5377" max="5377" width="47.7109375" style="261" customWidth="1"/>
    <col min="5378" max="5378" width="13.140625" style="261" customWidth="1"/>
    <col min="5379" max="5379" width="10.5703125" style="261" customWidth="1"/>
    <col min="5380" max="5380" width="11.140625" style="261" customWidth="1"/>
    <col min="5381" max="5381" width="10.85546875" style="261" customWidth="1"/>
    <col min="5382" max="5382" width="13.85546875" style="261" customWidth="1"/>
    <col min="5383" max="5383" width="10" style="261" customWidth="1"/>
    <col min="5384" max="5384" width="10.5703125" style="261" customWidth="1"/>
    <col min="5385" max="5385" width="8.42578125" style="261" customWidth="1"/>
    <col min="5386" max="5599" width="9.140625" style="261"/>
    <col min="5600" max="5600" width="15.5703125" style="261" customWidth="1"/>
    <col min="5601" max="5601" width="40" style="261" customWidth="1"/>
    <col min="5602" max="5605" width="12.7109375" style="261" customWidth="1"/>
    <col min="5606" max="5606" width="9.28515625" style="261" customWidth="1"/>
    <col min="5607" max="5610" width="12.7109375" style="261" customWidth="1"/>
    <col min="5611" max="5611" width="9.5703125" style="261" customWidth="1"/>
    <col min="5612" max="5616" width="12.7109375" style="261" customWidth="1"/>
    <col min="5617" max="5617" width="9.42578125" style="261" customWidth="1"/>
    <col min="5618" max="5618" width="12.7109375" style="261" customWidth="1"/>
    <col min="5619" max="5619" width="9.5703125" style="261" customWidth="1"/>
    <col min="5620" max="5620" width="9.7109375" style="261" bestFit="1" customWidth="1"/>
    <col min="5621" max="5632" width="9.140625" style="261"/>
    <col min="5633" max="5633" width="47.7109375" style="261" customWidth="1"/>
    <col min="5634" max="5634" width="13.140625" style="261" customWidth="1"/>
    <col min="5635" max="5635" width="10.5703125" style="261" customWidth="1"/>
    <col min="5636" max="5636" width="11.140625" style="261" customWidth="1"/>
    <col min="5637" max="5637" width="10.85546875" style="261" customWidth="1"/>
    <col min="5638" max="5638" width="13.85546875" style="261" customWidth="1"/>
    <col min="5639" max="5639" width="10" style="261" customWidth="1"/>
    <col min="5640" max="5640" width="10.5703125" style="261" customWidth="1"/>
    <col min="5641" max="5641" width="8.42578125" style="261" customWidth="1"/>
    <col min="5642" max="5855" width="9.140625" style="261"/>
    <col min="5856" max="5856" width="15.5703125" style="261" customWidth="1"/>
    <col min="5857" max="5857" width="40" style="261" customWidth="1"/>
    <col min="5858" max="5861" width="12.7109375" style="261" customWidth="1"/>
    <col min="5862" max="5862" width="9.28515625" style="261" customWidth="1"/>
    <col min="5863" max="5866" width="12.7109375" style="261" customWidth="1"/>
    <col min="5867" max="5867" width="9.5703125" style="261" customWidth="1"/>
    <col min="5868" max="5872" width="12.7109375" style="261" customWidth="1"/>
    <col min="5873" max="5873" width="9.42578125" style="261" customWidth="1"/>
    <col min="5874" max="5874" width="12.7109375" style="261" customWidth="1"/>
    <col min="5875" max="5875" width="9.5703125" style="261" customWidth="1"/>
    <col min="5876" max="5876" width="9.7109375" style="261" bestFit="1" customWidth="1"/>
    <col min="5877" max="5888" width="9.140625" style="261"/>
    <col min="5889" max="5889" width="47.7109375" style="261" customWidth="1"/>
    <col min="5890" max="5890" width="13.140625" style="261" customWidth="1"/>
    <col min="5891" max="5891" width="10.5703125" style="261" customWidth="1"/>
    <col min="5892" max="5892" width="11.140625" style="261" customWidth="1"/>
    <col min="5893" max="5893" width="10.85546875" style="261" customWidth="1"/>
    <col min="5894" max="5894" width="13.85546875" style="261" customWidth="1"/>
    <col min="5895" max="5895" width="10" style="261" customWidth="1"/>
    <col min="5896" max="5896" width="10.5703125" style="261" customWidth="1"/>
    <col min="5897" max="5897" width="8.42578125" style="261" customWidth="1"/>
    <col min="5898" max="6111" width="9.140625" style="261"/>
    <col min="6112" max="6112" width="15.5703125" style="261" customWidth="1"/>
    <col min="6113" max="6113" width="40" style="261" customWidth="1"/>
    <col min="6114" max="6117" width="12.7109375" style="261" customWidth="1"/>
    <col min="6118" max="6118" width="9.28515625" style="261" customWidth="1"/>
    <col min="6119" max="6122" width="12.7109375" style="261" customWidth="1"/>
    <col min="6123" max="6123" width="9.5703125" style="261" customWidth="1"/>
    <col min="6124" max="6128" width="12.7109375" style="261" customWidth="1"/>
    <col min="6129" max="6129" width="9.42578125" style="261" customWidth="1"/>
    <col min="6130" max="6130" width="12.7109375" style="261" customWidth="1"/>
    <col min="6131" max="6131" width="9.5703125" style="261" customWidth="1"/>
    <col min="6132" max="6132" width="9.7109375" style="261" bestFit="1" customWidth="1"/>
    <col min="6133" max="6144" width="9.140625" style="261"/>
    <col min="6145" max="6145" width="47.7109375" style="261" customWidth="1"/>
    <col min="6146" max="6146" width="13.140625" style="261" customWidth="1"/>
    <col min="6147" max="6147" width="10.5703125" style="261" customWidth="1"/>
    <col min="6148" max="6148" width="11.140625" style="261" customWidth="1"/>
    <col min="6149" max="6149" width="10.85546875" style="261" customWidth="1"/>
    <col min="6150" max="6150" width="13.85546875" style="261" customWidth="1"/>
    <col min="6151" max="6151" width="10" style="261" customWidth="1"/>
    <col min="6152" max="6152" width="10.5703125" style="261" customWidth="1"/>
    <col min="6153" max="6153" width="8.42578125" style="261" customWidth="1"/>
    <col min="6154" max="6367" width="9.140625" style="261"/>
    <col min="6368" max="6368" width="15.5703125" style="261" customWidth="1"/>
    <col min="6369" max="6369" width="40" style="261" customWidth="1"/>
    <col min="6370" max="6373" width="12.7109375" style="261" customWidth="1"/>
    <col min="6374" max="6374" width="9.28515625" style="261" customWidth="1"/>
    <col min="6375" max="6378" width="12.7109375" style="261" customWidth="1"/>
    <col min="6379" max="6379" width="9.5703125" style="261" customWidth="1"/>
    <col min="6380" max="6384" width="12.7109375" style="261" customWidth="1"/>
    <col min="6385" max="6385" width="9.42578125" style="261" customWidth="1"/>
    <col min="6386" max="6386" width="12.7109375" style="261" customWidth="1"/>
    <col min="6387" max="6387" width="9.5703125" style="261" customWidth="1"/>
    <col min="6388" max="6388" width="9.7109375" style="261" bestFit="1" customWidth="1"/>
    <col min="6389" max="6400" width="9.140625" style="261"/>
    <col min="6401" max="6401" width="47.7109375" style="261" customWidth="1"/>
    <col min="6402" max="6402" width="13.140625" style="261" customWidth="1"/>
    <col min="6403" max="6403" width="10.5703125" style="261" customWidth="1"/>
    <col min="6404" max="6404" width="11.140625" style="261" customWidth="1"/>
    <col min="6405" max="6405" width="10.85546875" style="261" customWidth="1"/>
    <col min="6406" max="6406" width="13.85546875" style="261" customWidth="1"/>
    <col min="6407" max="6407" width="10" style="261" customWidth="1"/>
    <col min="6408" max="6408" width="10.5703125" style="261" customWidth="1"/>
    <col min="6409" max="6409" width="8.42578125" style="261" customWidth="1"/>
    <col min="6410" max="6623" width="9.140625" style="261"/>
    <col min="6624" max="6624" width="15.5703125" style="261" customWidth="1"/>
    <col min="6625" max="6625" width="40" style="261" customWidth="1"/>
    <col min="6626" max="6629" width="12.7109375" style="261" customWidth="1"/>
    <col min="6630" max="6630" width="9.28515625" style="261" customWidth="1"/>
    <col min="6631" max="6634" width="12.7109375" style="261" customWidth="1"/>
    <col min="6635" max="6635" width="9.5703125" style="261" customWidth="1"/>
    <col min="6636" max="6640" width="12.7109375" style="261" customWidth="1"/>
    <col min="6641" max="6641" width="9.42578125" style="261" customWidth="1"/>
    <col min="6642" max="6642" width="12.7109375" style="261" customWidth="1"/>
    <col min="6643" max="6643" width="9.5703125" style="261" customWidth="1"/>
    <col min="6644" max="6644" width="9.7109375" style="261" bestFit="1" customWidth="1"/>
    <col min="6645" max="6656" width="9.140625" style="261"/>
    <col min="6657" max="6657" width="47.7109375" style="261" customWidth="1"/>
    <col min="6658" max="6658" width="13.140625" style="261" customWidth="1"/>
    <col min="6659" max="6659" width="10.5703125" style="261" customWidth="1"/>
    <col min="6660" max="6660" width="11.140625" style="261" customWidth="1"/>
    <col min="6661" max="6661" width="10.85546875" style="261" customWidth="1"/>
    <col min="6662" max="6662" width="13.85546875" style="261" customWidth="1"/>
    <col min="6663" max="6663" width="10" style="261" customWidth="1"/>
    <col min="6664" max="6664" width="10.5703125" style="261" customWidth="1"/>
    <col min="6665" max="6665" width="8.42578125" style="261" customWidth="1"/>
    <col min="6666" max="6879" width="9.140625" style="261"/>
    <col min="6880" max="6880" width="15.5703125" style="261" customWidth="1"/>
    <col min="6881" max="6881" width="40" style="261" customWidth="1"/>
    <col min="6882" max="6885" width="12.7109375" style="261" customWidth="1"/>
    <col min="6886" max="6886" width="9.28515625" style="261" customWidth="1"/>
    <col min="6887" max="6890" width="12.7109375" style="261" customWidth="1"/>
    <col min="6891" max="6891" width="9.5703125" style="261" customWidth="1"/>
    <col min="6892" max="6896" width="12.7109375" style="261" customWidth="1"/>
    <col min="6897" max="6897" width="9.42578125" style="261" customWidth="1"/>
    <col min="6898" max="6898" width="12.7109375" style="261" customWidth="1"/>
    <col min="6899" max="6899" width="9.5703125" style="261" customWidth="1"/>
    <col min="6900" max="6900" width="9.7109375" style="261" bestFit="1" customWidth="1"/>
    <col min="6901" max="6912" width="9.140625" style="261"/>
    <col min="6913" max="6913" width="47.7109375" style="261" customWidth="1"/>
    <col min="6914" max="6914" width="13.140625" style="261" customWidth="1"/>
    <col min="6915" max="6915" width="10.5703125" style="261" customWidth="1"/>
    <col min="6916" max="6916" width="11.140625" style="261" customWidth="1"/>
    <col min="6917" max="6917" width="10.85546875" style="261" customWidth="1"/>
    <col min="6918" max="6918" width="13.85546875" style="261" customWidth="1"/>
    <col min="6919" max="6919" width="10" style="261" customWidth="1"/>
    <col min="6920" max="6920" width="10.5703125" style="261" customWidth="1"/>
    <col min="6921" max="6921" width="8.42578125" style="261" customWidth="1"/>
    <col min="6922" max="7135" width="9.140625" style="261"/>
    <col min="7136" max="7136" width="15.5703125" style="261" customWidth="1"/>
    <col min="7137" max="7137" width="40" style="261" customWidth="1"/>
    <col min="7138" max="7141" width="12.7109375" style="261" customWidth="1"/>
    <col min="7142" max="7142" width="9.28515625" style="261" customWidth="1"/>
    <col min="7143" max="7146" width="12.7109375" style="261" customWidth="1"/>
    <col min="7147" max="7147" width="9.5703125" style="261" customWidth="1"/>
    <col min="7148" max="7152" width="12.7109375" style="261" customWidth="1"/>
    <col min="7153" max="7153" width="9.42578125" style="261" customWidth="1"/>
    <col min="7154" max="7154" width="12.7109375" style="261" customWidth="1"/>
    <col min="7155" max="7155" width="9.5703125" style="261" customWidth="1"/>
    <col min="7156" max="7156" width="9.7109375" style="261" bestFit="1" customWidth="1"/>
    <col min="7157" max="7168" width="9.140625" style="261"/>
    <col min="7169" max="7169" width="47.7109375" style="261" customWidth="1"/>
    <col min="7170" max="7170" width="13.140625" style="261" customWidth="1"/>
    <col min="7171" max="7171" width="10.5703125" style="261" customWidth="1"/>
    <col min="7172" max="7172" width="11.140625" style="261" customWidth="1"/>
    <col min="7173" max="7173" width="10.85546875" style="261" customWidth="1"/>
    <col min="7174" max="7174" width="13.85546875" style="261" customWidth="1"/>
    <col min="7175" max="7175" width="10" style="261" customWidth="1"/>
    <col min="7176" max="7176" width="10.5703125" style="261" customWidth="1"/>
    <col min="7177" max="7177" width="8.42578125" style="261" customWidth="1"/>
    <col min="7178" max="7391" width="9.140625" style="261"/>
    <col min="7392" max="7392" width="15.5703125" style="261" customWidth="1"/>
    <col min="7393" max="7393" width="40" style="261" customWidth="1"/>
    <col min="7394" max="7397" width="12.7109375" style="261" customWidth="1"/>
    <col min="7398" max="7398" width="9.28515625" style="261" customWidth="1"/>
    <col min="7399" max="7402" width="12.7109375" style="261" customWidth="1"/>
    <col min="7403" max="7403" width="9.5703125" style="261" customWidth="1"/>
    <col min="7404" max="7408" width="12.7109375" style="261" customWidth="1"/>
    <col min="7409" max="7409" width="9.42578125" style="261" customWidth="1"/>
    <col min="7410" max="7410" width="12.7109375" style="261" customWidth="1"/>
    <col min="7411" max="7411" width="9.5703125" style="261" customWidth="1"/>
    <col min="7412" max="7412" width="9.7109375" style="261" bestFit="1" customWidth="1"/>
    <col min="7413" max="7424" width="9.140625" style="261"/>
    <col min="7425" max="7425" width="47.7109375" style="261" customWidth="1"/>
    <col min="7426" max="7426" width="13.140625" style="261" customWidth="1"/>
    <col min="7427" max="7427" width="10.5703125" style="261" customWidth="1"/>
    <col min="7428" max="7428" width="11.140625" style="261" customWidth="1"/>
    <col min="7429" max="7429" width="10.85546875" style="261" customWidth="1"/>
    <col min="7430" max="7430" width="13.85546875" style="261" customWidth="1"/>
    <col min="7431" max="7431" width="10" style="261" customWidth="1"/>
    <col min="7432" max="7432" width="10.5703125" style="261" customWidth="1"/>
    <col min="7433" max="7433" width="8.42578125" style="261" customWidth="1"/>
    <col min="7434" max="7647" width="9.140625" style="261"/>
    <col min="7648" max="7648" width="15.5703125" style="261" customWidth="1"/>
    <col min="7649" max="7649" width="40" style="261" customWidth="1"/>
    <col min="7650" max="7653" width="12.7109375" style="261" customWidth="1"/>
    <col min="7654" max="7654" width="9.28515625" style="261" customWidth="1"/>
    <col min="7655" max="7658" width="12.7109375" style="261" customWidth="1"/>
    <col min="7659" max="7659" width="9.5703125" style="261" customWidth="1"/>
    <col min="7660" max="7664" width="12.7109375" style="261" customWidth="1"/>
    <col min="7665" max="7665" width="9.42578125" style="261" customWidth="1"/>
    <col min="7666" max="7666" width="12.7109375" style="261" customWidth="1"/>
    <col min="7667" max="7667" width="9.5703125" style="261" customWidth="1"/>
    <col min="7668" max="7668" width="9.7109375" style="261" bestFit="1" customWidth="1"/>
    <col min="7669" max="7680" width="9.140625" style="261"/>
    <col min="7681" max="7681" width="47.7109375" style="261" customWidth="1"/>
    <col min="7682" max="7682" width="13.140625" style="261" customWidth="1"/>
    <col min="7683" max="7683" width="10.5703125" style="261" customWidth="1"/>
    <col min="7684" max="7684" width="11.140625" style="261" customWidth="1"/>
    <col min="7685" max="7685" width="10.85546875" style="261" customWidth="1"/>
    <col min="7686" max="7686" width="13.85546875" style="261" customWidth="1"/>
    <col min="7687" max="7687" width="10" style="261" customWidth="1"/>
    <col min="7688" max="7688" width="10.5703125" style="261" customWidth="1"/>
    <col min="7689" max="7689" width="8.42578125" style="261" customWidth="1"/>
    <col min="7690" max="7903" width="9.140625" style="261"/>
    <col min="7904" max="7904" width="15.5703125" style="261" customWidth="1"/>
    <col min="7905" max="7905" width="40" style="261" customWidth="1"/>
    <col min="7906" max="7909" width="12.7109375" style="261" customWidth="1"/>
    <col min="7910" max="7910" width="9.28515625" style="261" customWidth="1"/>
    <col min="7911" max="7914" width="12.7109375" style="261" customWidth="1"/>
    <col min="7915" max="7915" width="9.5703125" style="261" customWidth="1"/>
    <col min="7916" max="7920" width="12.7109375" style="261" customWidth="1"/>
    <col min="7921" max="7921" width="9.42578125" style="261" customWidth="1"/>
    <col min="7922" max="7922" width="12.7109375" style="261" customWidth="1"/>
    <col min="7923" max="7923" width="9.5703125" style="261" customWidth="1"/>
    <col min="7924" max="7924" width="9.7109375" style="261" bestFit="1" customWidth="1"/>
    <col min="7925" max="7936" width="9.140625" style="261"/>
    <col min="7937" max="7937" width="47.7109375" style="261" customWidth="1"/>
    <col min="7938" max="7938" width="13.140625" style="261" customWidth="1"/>
    <col min="7939" max="7939" width="10.5703125" style="261" customWidth="1"/>
    <col min="7940" max="7940" width="11.140625" style="261" customWidth="1"/>
    <col min="7941" max="7941" width="10.85546875" style="261" customWidth="1"/>
    <col min="7942" max="7942" width="13.85546875" style="261" customWidth="1"/>
    <col min="7943" max="7943" width="10" style="261" customWidth="1"/>
    <col min="7944" max="7944" width="10.5703125" style="261" customWidth="1"/>
    <col min="7945" max="7945" width="8.42578125" style="261" customWidth="1"/>
    <col min="7946" max="8159" width="9.140625" style="261"/>
    <col min="8160" max="8160" width="15.5703125" style="261" customWidth="1"/>
    <col min="8161" max="8161" width="40" style="261" customWidth="1"/>
    <col min="8162" max="8165" width="12.7109375" style="261" customWidth="1"/>
    <col min="8166" max="8166" width="9.28515625" style="261" customWidth="1"/>
    <col min="8167" max="8170" width="12.7109375" style="261" customWidth="1"/>
    <col min="8171" max="8171" width="9.5703125" style="261" customWidth="1"/>
    <col min="8172" max="8176" width="12.7109375" style="261" customWidth="1"/>
    <col min="8177" max="8177" width="9.42578125" style="261" customWidth="1"/>
    <col min="8178" max="8178" width="12.7109375" style="261" customWidth="1"/>
    <col min="8179" max="8179" width="9.5703125" style="261" customWidth="1"/>
    <col min="8180" max="8180" width="9.7109375" style="261" bestFit="1" customWidth="1"/>
    <col min="8181" max="8192" width="9.140625" style="261"/>
    <col min="8193" max="8193" width="47.7109375" style="261" customWidth="1"/>
    <col min="8194" max="8194" width="13.140625" style="261" customWidth="1"/>
    <col min="8195" max="8195" width="10.5703125" style="261" customWidth="1"/>
    <col min="8196" max="8196" width="11.140625" style="261" customWidth="1"/>
    <col min="8197" max="8197" width="10.85546875" style="261" customWidth="1"/>
    <col min="8198" max="8198" width="13.85546875" style="261" customWidth="1"/>
    <col min="8199" max="8199" width="10" style="261" customWidth="1"/>
    <col min="8200" max="8200" width="10.5703125" style="261" customWidth="1"/>
    <col min="8201" max="8201" width="8.42578125" style="261" customWidth="1"/>
    <col min="8202" max="8415" width="9.140625" style="261"/>
    <col min="8416" max="8416" width="15.5703125" style="261" customWidth="1"/>
    <col min="8417" max="8417" width="40" style="261" customWidth="1"/>
    <col min="8418" max="8421" width="12.7109375" style="261" customWidth="1"/>
    <col min="8422" max="8422" width="9.28515625" style="261" customWidth="1"/>
    <col min="8423" max="8426" width="12.7109375" style="261" customWidth="1"/>
    <col min="8427" max="8427" width="9.5703125" style="261" customWidth="1"/>
    <col min="8428" max="8432" width="12.7109375" style="261" customWidth="1"/>
    <col min="8433" max="8433" width="9.42578125" style="261" customWidth="1"/>
    <col min="8434" max="8434" width="12.7109375" style="261" customWidth="1"/>
    <col min="8435" max="8435" width="9.5703125" style="261" customWidth="1"/>
    <col min="8436" max="8436" width="9.7109375" style="261" bestFit="1" customWidth="1"/>
    <col min="8437" max="8448" width="9.140625" style="261"/>
    <col min="8449" max="8449" width="47.7109375" style="261" customWidth="1"/>
    <col min="8450" max="8450" width="13.140625" style="261" customWidth="1"/>
    <col min="8451" max="8451" width="10.5703125" style="261" customWidth="1"/>
    <col min="8452" max="8452" width="11.140625" style="261" customWidth="1"/>
    <col min="8453" max="8453" width="10.85546875" style="261" customWidth="1"/>
    <col min="8454" max="8454" width="13.85546875" style="261" customWidth="1"/>
    <col min="8455" max="8455" width="10" style="261" customWidth="1"/>
    <col min="8456" max="8456" width="10.5703125" style="261" customWidth="1"/>
    <col min="8457" max="8457" width="8.42578125" style="261" customWidth="1"/>
    <col min="8458" max="8671" width="9.140625" style="261"/>
    <col min="8672" max="8672" width="15.5703125" style="261" customWidth="1"/>
    <col min="8673" max="8673" width="40" style="261" customWidth="1"/>
    <col min="8674" max="8677" width="12.7109375" style="261" customWidth="1"/>
    <col min="8678" max="8678" width="9.28515625" style="261" customWidth="1"/>
    <col min="8679" max="8682" width="12.7109375" style="261" customWidth="1"/>
    <col min="8683" max="8683" width="9.5703125" style="261" customWidth="1"/>
    <col min="8684" max="8688" width="12.7109375" style="261" customWidth="1"/>
    <col min="8689" max="8689" width="9.42578125" style="261" customWidth="1"/>
    <col min="8690" max="8690" width="12.7109375" style="261" customWidth="1"/>
    <col min="8691" max="8691" width="9.5703125" style="261" customWidth="1"/>
    <col min="8692" max="8692" width="9.7109375" style="261" bestFit="1" customWidth="1"/>
    <col min="8693" max="8704" width="9.140625" style="261"/>
    <col min="8705" max="8705" width="47.7109375" style="261" customWidth="1"/>
    <col min="8706" max="8706" width="13.140625" style="261" customWidth="1"/>
    <col min="8707" max="8707" width="10.5703125" style="261" customWidth="1"/>
    <col min="8708" max="8708" width="11.140625" style="261" customWidth="1"/>
    <col min="8709" max="8709" width="10.85546875" style="261" customWidth="1"/>
    <col min="8710" max="8710" width="13.85546875" style="261" customWidth="1"/>
    <col min="8711" max="8711" width="10" style="261" customWidth="1"/>
    <col min="8712" max="8712" width="10.5703125" style="261" customWidth="1"/>
    <col min="8713" max="8713" width="8.42578125" style="261" customWidth="1"/>
    <col min="8714" max="8927" width="9.140625" style="261"/>
    <col min="8928" max="8928" width="15.5703125" style="261" customWidth="1"/>
    <col min="8929" max="8929" width="40" style="261" customWidth="1"/>
    <col min="8930" max="8933" width="12.7109375" style="261" customWidth="1"/>
    <col min="8934" max="8934" width="9.28515625" style="261" customWidth="1"/>
    <col min="8935" max="8938" width="12.7109375" style="261" customWidth="1"/>
    <col min="8939" max="8939" width="9.5703125" style="261" customWidth="1"/>
    <col min="8940" max="8944" width="12.7109375" style="261" customWidth="1"/>
    <col min="8945" max="8945" width="9.42578125" style="261" customWidth="1"/>
    <col min="8946" max="8946" width="12.7109375" style="261" customWidth="1"/>
    <col min="8947" max="8947" width="9.5703125" style="261" customWidth="1"/>
    <col min="8948" max="8948" width="9.7109375" style="261" bestFit="1" customWidth="1"/>
    <col min="8949" max="8960" width="9.140625" style="261"/>
    <col min="8961" max="8961" width="47.7109375" style="261" customWidth="1"/>
    <col min="8962" max="8962" width="13.140625" style="261" customWidth="1"/>
    <col min="8963" max="8963" width="10.5703125" style="261" customWidth="1"/>
    <col min="8964" max="8964" width="11.140625" style="261" customWidth="1"/>
    <col min="8965" max="8965" width="10.85546875" style="261" customWidth="1"/>
    <col min="8966" max="8966" width="13.85546875" style="261" customWidth="1"/>
    <col min="8967" max="8967" width="10" style="261" customWidth="1"/>
    <col min="8968" max="8968" width="10.5703125" style="261" customWidth="1"/>
    <col min="8969" max="8969" width="8.42578125" style="261" customWidth="1"/>
    <col min="8970" max="9183" width="9.140625" style="261"/>
    <col min="9184" max="9184" width="15.5703125" style="261" customWidth="1"/>
    <col min="9185" max="9185" width="40" style="261" customWidth="1"/>
    <col min="9186" max="9189" width="12.7109375" style="261" customWidth="1"/>
    <col min="9190" max="9190" width="9.28515625" style="261" customWidth="1"/>
    <col min="9191" max="9194" width="12.7109375" style="261" customWidth="1"/>
    <col min="9195" max="9195" width="9.5703125" style="261" customWidth="1"/>
    <col min="9196" max="9200" width="12.7109375" style="261" customWidth="1"/>
    <col min="9201" max="9201" width="9.42578125" style="261" customWidth="1"/>
    <col min="9202" max="9202" width="12.7109375" style="261" customWidth="1"/>
    <col min="9203" max="9203" width="9.5703125" style="261" customWidth="1"/>
    <col min="9204" max="9204" width="9.7109375" style="261" bestFit="1" customWidth="1"/>
    <col min="9205" max="9216" width="9.140625" style="261"/>
    <col min="9217" max="9217" width="47.7109375" style="261" customWidth="1"/>
    <col min="9218" max="9218" width="13.140625" style="261" customWidth="1"/>
    <col min="9219" max="9219" width="10.5703125" style="261" customWidth="1"/>
    <col min="9220" max="9220" width="11.140625" style="261" customWidth="1"/>
    <col min="9221" max="9221" width="10.85546875" style="261" customWidth="1"/>
    <col min="9222" max="9222" width="13.85546875" style="261" customWidth="1"/>
    <col min="9223" max="9223" width="10" style="261" customWidth="1"/>
    <col min="9224" max="9224" width="10.5703125" style="261" customWidth="1"/>
    <col min="9225" max="9225" width="8.42578125" style="261" customWidth="1"/>
    <col min="9226" max="9439" width="9.140625" style="261"/>
    <col min="9440" max="9440" width="15.5703125" style="261" customWidth="1"/>
    <col min="9441" max="9441" width="40" style="261" customWidth="1"/>
    <col min="9442" max="9445" width="12.7109375" style="261" customWidth="1"/>
    <col min="9446" max="9446" width="9.28515625" style="261" customWidth="1"/>
    <col min="9447" max="9450" width="12.7109375" style="261" customWidth="1"/>
    <col min="9451" max="9451" width="9.5703125" style="261" customWidth="1"/>
    <col min="9452" max="9456" width="12.7109375" style="261" customWidth="1"/>
    <col min="9457" max="9457" width="9.42578125" style="261" customWidth="1"/>
    <col min="9458" max="9458" width="12.7109375" style="261" customWidth="1"/>
    <col min="9459" max="9459" width="9.5703125" style="261" customWidth="1"/>
    <col min="9460" max="9460" width="9.7109375" style="261" bestFit="1" customWidth="1"/>
    <col min="9461" max="9472" width="9.140625" style="261"/>
    <col min="9473" max="9473" width="47.7109375" style="261" customWidth="1"/>
    <col min="9474" max="9474" width="13.140625" style="261" customWidth="1"/>
    <col min="9475" max="9475" width="10.5703125" style="261" customWidth="1"/>
    <col min="9476" max="9476" width="11.140625" style="261" customWidth="1"/>
    <col min="9477" max="9477" width="10.85546875" style="261" customWidth="1"/>
    <col min="9478" max="9478" width="13.85546875" style="261" customWidth="1"/>
    <col min="9479" max="9479" width="10" style="261" customWidth="1"/>
    <col min="9480" max="9480" width="10.5703125" style="261" customWidth="1"/>
    <col min="9481" max="9481" width="8.42578125" style="261" customWidth="1"/>
    <col min="9482" max="9695" width="9.140625" style="261"/>
    <col min="9696" max="9696" width="15.5703125" style="261" customWidth="1"/>
    <col min="9697" max="9697" width="40" style="261" customWidth="1"/>
    <col min="9698" max="9701" width="12.7109375" style="261" customWidth="1"/>
    <col min="9702" max="9702" width="9.28515625" style="261" customWidth="1"/>
    <col min="9703" max="9706" width="12.7109375" style="261" customWidth="1"/>
    <col min="9707" max="9707" width="9.5703125" style="261" customWidth="1"/>
    <col min="9708" max="9712" width="12.7109375" style="261" customWidth="1"/>
    <col min="9713" max="9713" width="9.42578125" style="261" customWidth="1"/>
    <col min="9714" max="9714" width="12.7109375" style="261" customWidth="1"/>
    <col min="9715" max="9715" width="9.5703125" style="261" customWidth="1"/>
    <col min="9716" max="9716" width="9.7109375" style="261" bestFit="1" customWidth="1"/>
    <col min="9717" max="9728" width="9.140625" style="261"/>
    <col min="9729" max="9729" width="47.7109375" style="261" customWidth="1"/>
    <col min="9730" max="9730" width="13.140625" style="261" customWidth="1"/>
    <col min="9731" max="9731" width="10.5703125" style="261" customWidth="1"/>
    <col min="9732" max="9732" width="11.140625" style="261" customWidth="1"/>
    <col min="9733" max="9733" width="10.85546875" style="261" customWidth="1"/>
    <col min="9734" max="9734" width="13.85546875" style="261" customWidth="1"/>
    <col min="9735" max="9735" width="10" style="261" customWidth="1"/>
    <col min="9736" max="9736" width="10.5703125" style="261" customWidth="1"/>
    <col min="9737" max="9737" width="8.42578125" style="261" customWidth="1"/>
    <col min="9738" max="9951" width="9.140625" style="261"/>
    <col min="9952" max="9952" width="15.5703125" style="261" customWidth="1"/>
    <col min="9953" max="9953" width="40" style="261" customWidth="1"/>
    <col min="9954" max="9957" width="12.7109375" style="261" customWidth="1"/>
    <col min="9958" max="9958" width="9.28515625" style="261" customWidth="1"/>
    <col min="9959" max="9962" width="12.7109375" style="261" customWidth="1"/>
    <col min="9963" max="9963" width="9.5703125" style="261" customWidth="1"/>
    <col min="9964" max="9968" width="12.7109375" style="261" customWidth="1"/>
    <col min="9969" max="9969" width="9.42578125" style="261" customWidth="1"/>
    <col min="9970" max="9970" width="12.7109375" style="261" customWidth="1"/>
    <col min="9971" max="9971" width="9.5703125" style="261" customWidth="1"/>
    <col min="9972" max="9972" width="9.7109375" style="261" bestFit="1" customWidth="1"/>
    <col min="9973" max="9984" width="9.140625" style="261"/>
    <col min="9985" max="9985" width="47.7109375" style="261" customWidth="1"/>
    <col min="9986" max="9986" width="13.140625" style="261" customWidth="1"/>
    <col min="9987" max="9987" width="10.5703125" style="261" customWidth="1"/>
    <col min="9988" max="9988" width="11.140625" style="261" customWidth="1"/>
    <col min="9989" max="9989" width="10.85546875" style="261" customWidth="1"/>
    <col min="9990" max="9990" width="13.85546875" style="261" customWidth="1"/>
    <col min="9991" max="9991" width="10" style="261" customWidth="1"/>
    <col min="9992" max="9992" width="10.5703125" style="261" customWidth="1"/>
    <col min="9993" max="9993" width="8.42578125" style="261" customWidth="1"/>
    <col min="9994" max="10207" width="9.140625" style="261"/>
    <col min="10208" max="10208" width="15.5703125" style="261" customWidth="1"/>
    <col min="10209" max="10209" width="40" style="261" customWidth="1"/>
    <col min="10210" max="10213" width="12.7109375" style="261" customWidth="1"/>
    <col min="10214" max="10214" width="9.28515625" style="261" customWidth="1"/>
    <col min="10215" max="10218" width="12.7109375" style="261" customWidth="1"/>
    <col min="10219" max="10219" width="9.5703125" style="261" customWidth="1"/>
    <col min="10220" max="10224" width="12.7109375" style="261" customWidth="1"/>
    <col min="10225" max="10225" width="9.42578125" style="261" customWidth="1"/>
    <col min="10226" max="10226" width="12.7109375" style="261" customWidth="1"/>
    <col min="10227" max="10227" width="9.5703125" style="261" customWidth="1"/>
    <col min="10228" max="10228" width="9.7109375" style="261" bestFit="1" customWidth="1"/>
    <col min="10229" max="10240" width="9.140625" style="261"/>
    <col min="10241" max="10241" width="47.7109375" style="261" customWidth="1"/>
    <col min="10242" max="10242" width="13.140625" style="261" customWidth="1"/>
    <col min="10243" max="10243" width="10.5703125" style="261" customWidth="1"/>
    <col min="10244" max="10244" width="11.140625" style="261" customWidth="1"/>
    <col min="10245" max="10245" width="10.85546875" style="261" customWidth="1"/>
    <col min="10246" max="10246" width="13.85546875" style="261" customWidth="1"/>
    <col min="10247" max="10247" width="10" style="261" customWidth="1"/>
    <col min="10248" max="10248" width="10.5703125" style="261" customWidth="1"/>
    <col min="10249" max="10249" width="8.42578125" style="261" customWidth="1"/>
    <col min="10250" max="10463" width="9.140625" style="261"/>
    <col min="10464" max="10464" width="15.5703125" style="261" customWidth="1"/>
    <col min="10465" max="10465" width="40" style="261" customWidth="1"/>
    <col min="10466" max="10469" width="12.7109375" style="261" customWidth="1"/>
    <col min="10470" max="10470" width="9.28515625" style="261" customWidth="1"/>
    <col min="10471" max="10474" width="12.7109375" style="261" customWidth="1"/>
    <col min="10475" max="10475" width="9.5703125" style="261" customWidth="1"/>
    <col min="10476" max="10480" width="12.7109375" style="261" customWidth="1"/>
    <col min="10481" max="10481" width="9.42578125" style="261" customWidth="1"/>
    <col min="10482" max="10482" width="12.7109375" style="261" customWidth="1"/>
    <col min="10483" max="10483" width="9.5703125" style="261" customWidth="1"/>
    <col min="10484" max="10484" width="9.7109375" style="261" bestFit="1" customWidth="1"/>
    <col min="10485" max="10496" width="9.140625" style="261"/>
    <col min="10497" max="10497" width="47.7109375" style="261" customWidth="1"/>
    <col min="10498" max="10498" width="13.140625" style="261" customWidth="1"/>
    <col min="10499" max="10499" width="10.5703125" style="261" customWidth="1"/>
    <col min="10500" max="10500" width="11.140625" style="261" customWidth="1"/>
    <col min="10501" max="10501" width="10.85546875" style="261" customWidth="1"/>
    <col min="10502" max="10502" width="13.85546875" style="261" customWidth="1"/>
    <col min="10503" max="10503" width="10" style="261" customWidth="1"/>
    <col min="10504" max="10504" width="10.5703125" style="261" customWidth="1"/>
    <col min="10505" max="10505" width="8.42578125" style="261" customWidth="1"/>
    <col min="10506" max="10719" width="9.140625" style="261"/>
    <col min="10720" max="10720" width="15.5703125" style="261" customWidth="1"/>
    <col min="10721" max="10721" width="40" style="261" customWidth="1"/>
    <col min="10722" max="10725" width="12.7109375" style="261" customWidth="1"/>
    <col min="10726" max="10726" width="9.28515625" style="261" customWidth="1"/>
    <col min="10727" max="10730" width="12.7109375" style="261" customWidth="1"/>
    <col min="10731" max="10731" width="9.5703125" style="261" customWidth="1"/>
    <col min="10732" max="10736" width="12.7109375" style="261" customWidth="1"/>
    <col min="10737" max="10737" width="9.42578125" style="261" customWidth="1"/>
    <col min="10738" max="10738" width="12.7109375" style="261" customWidth="1"/>
    <col min="10739" max="10739" width="9.5703125" style="261" customWidth="1"/>
    <col min="10740" max="10740" width="9.7109375" style="261" bestFit="1" customWidth="1"/>
    <col min="10741" max="10752" width="9.140625" style="261"/>
    <col min="10753" max="10753" width="47.7109375" style="261" customWidth="1"/>
    <col min="10754" max="10754" width="13.140625" style="261" customWidth="1"/>
    <col min="10755" max="10755" width="10.5703125" style="261" customWidth="1"/>
    <col min="10756" max="10756" width="11.140625" style="261" customWidth="1"/>
    <col min="10757" max="10757" width="10.85546875" style="261" customWidth="1"/>
    <col min="10758" max="10758" width="13.85546875" style="261" customWidth="1"/>
    <col min="10759" max="10759" width="10" style="261" customWidth="1"/>
    <col min="10760" max="10760" width="10.5703125" style="261" customWidth="1"/>
    <col min="10761" max="10761" width="8.42578125" style="261" customWidth="1"/>
    <col min="10762" max="10975" width="9.140625" style="261"/>
    <col min="10976" max="10976" width="15.5703125" style="261" customWidth="1"/>
    <col min="10977" max="10977" width="40" style="261" customWidth="1"/>
    <col min="10978" max="10981" width="12.7109375" style="261" customWidth="1"/>
    <col min="10982" max="10982" width="9.28515625" style="261" customWidth="1"/>
    <col min="10983" max="10986" width="12.7109375" style="261" customWidth="1"/>
    <col min="10987" max="10987" width="9.5703125" style="261" customWidth="1"/>
    <col min="10988" max="10992" width="12.7109375" style="261" customWidth="1"/>
    <col min="10993" max="10993" width="9.42578125" style="261" customWidth="1"/>
    <col min="10994" max="10994" width="12.7109375" style="261" customWidth="1"/>
    <col min="10995" max="10995" width="9.5703125" style="261" customWidth="1"/>
    <col min="10996" max="10996" width="9.7109375" style="261" bestFit="1" customWidth="1"/>
    <col min="10997" max="11008" width="9.140625" style="261"/>
    <col min="11009" max="11009" width="47.7109375" style="261" customWidth="1"/>
    <col min="11010" max="11010" width="13.140625" style="261" customWidth="1"/>
    <col min="11011" max="11011" width="10.5703125" style="261" customWidth="1"/>
    <col min="11012" max="11012" width="11.140625" style="261" customWidth="1"/>
    <col min="11013" max="11013" width="10.85546875" style="261" customWidth="1"/>
    <col min="11014" max="11014" width="13.85546875" style="261" customWidth="1"/>
    <col min="11015" max="11015" width="10" style="261" customWidth="1"/>
    <col min="11016" max="11016" width="10.5703125" style="261" customWidth="1"/>
    <col min="11017" max="11017" width="8.42578125" style="261" customWidth="1"/>
    <col min="11018" max="11231" width="9.140625" style="261"/>
    <col min="11232" max="11232" width="15.5703125" style="261" customWidth="1"/>
    <col min="11233" max="11233" width="40" style="261" customWidth="1"/>
    <col min="11234" max="11237" width="12.7109375" style="261" customWidth="1"/>
    <col min="11238" max="11238" width="9.28515625" style="261" customWidth="1"/>
    <col min="11239" max="11242" width="12.7109375" style="261" customWidth="1"/>
    <col min="11243" max="11243" width="9.5703125" style="261" customWidth="1"/>
    <col min="11244" max="11248" width="12.7109375" style="261" customWidth="1"/>
    <col min="11249" max="11249" width="9.42578125" style="261" customWidth="1"/>
    <col min="11250" max="11250" width="12.7109375" style="261" customWidth="1"/>
    <col min="11251" max="11251" width="9.5703125" style="261" customWidth="1"/>
    <col min="11252" max="11252" width="9.7109375" style="261" bestFit="1" customWidth="1"/>
    <col min="11253" max="11264" width="9.140625" style="261"/>
    <col min="11265" max="11265" width="47.7109375" style="261" customWidth="1"/>
    <col min="11266" max="11266" width="13.140625" style="261" customWidth="1"/>
    <col min="11267" max="11267" width="10.5703125" style="261" customWidth="1"/>
    <col min="11268" max="11268" width="11.140625" style="261" customWidth="1"/>
    <col min="11269" max="11269" width="10.85546875" style="261" customWidth="1"/>
    <col min="11270" max="11270" width="13.85546875" style="261" customWidth="1"/>
    <col min="11271" max="11271" width="10" style="261" customWidth="1"/>
    <col min="11272" max="11272" width="10.5703125" style="261" customWidth="1"/>
    <col min="11273" max="11273" width="8.42578125" style="261" customWidth="1"/>
    <col min="11274" max="11487" width="9.140625" style="261"/>
    <col min="11488" max="11488" width="15.5703125" style="261" customWidth="1"/>
    <col min="11489" max="11489" width="40" style="261" customWidth="1"/>
    <col min="11490" max="11493" width="12.7109375" style="261" customWidth="1"/>
    <col min="11494" max="11494" width="9.28515625" style="261" customWidth="1"/>
    <col min="11495" max="11498" width="12.7109375" style="261" customWidth="1"/>
    <col min="11499" max="11499" width="9.5703125" style="261" customWidth="1"/>
    <col min="11500" max="11504" width="12.7109375" style="261" customWidth="1"/>
    <col min="11505" max="11505" width="9.42578125" style="261" customWidth="1"/>
    <col min="11506" max="11506" width="12.7109375" style="261" customWidth="1"/>
    <col min="11507" max="11507" width="9.5703125" style="261" customWidth="1"/>
    <col min="11508" max="11508" width="9.7109375" style="261" bestFit="1" customWidth="1"/>
    <col min="11509" max="11520" width="9.140625" style="261"/>
    <col min="11521" max="11521" width="47.7109375" style="261" customWidth="1"/>
    <col min="11522" max="11522" width="13.140625" style="261" customWidth="1"/>
    <col min="11523" max="11523" width="10.5703125" style="261" customWidth="1"/>
    <col min="11524" max="11524" width="11.140625" style="261" customWidth="1"/>
    <col min="11525" max="11525" width="10.85546875" style="261" customWidth="1"/>
    <col min="11526" max="11526" width="13.85546875" style="261" customWidth="1"/>
    <col min="11527" max="11527" width="10" style="261" customWidth="1"/>
    <col min="11528" max="11528" width="10.5703125" style="261" customWidth="1"/>
    <col min="11529" max="11529" width="8.42578125" style="261" customWidth="1"/>
    <col min="11530" max="11743" width="9.140625" style="261"/>
    <col min="11744" max="11744" width="15.5703125" style="261" customWidth="1"/>
    <col min="11745" max="11745" width="40" style="261" customWidth="1"/>
    <col min="11746" max="11749" width="12.7109375" style="261" customWidth="1"/>
    <col min="11750" max="11750" width="9.28515625" style="261" customWidth="1"/>
    <col min="11751" max="11754" width="12.7109375" style="261" customWidth="1"/>
    <col min="11755" max="11755" width="9.5703125" style="261" customWidth="1"/>
    <col min="11756" max="11760" width="12.7109375" style="261" customWidth="1"/>
    <col min="11761" max="11761" width="9.42578125" style="261" customWidth="1"/>
    <col min="11762" max="11762" width="12.7109375" style="261" customWidth="1"/>
    <col min="11763" max="11763" width="9.5703125" style="261" customWidth="1"/>
    <col min="11764" max="11764" width="9.7109375" style="261" bestFit="1" customWidth="1"/>
    <col min="11765" max="11776" width="9.140625" style="261"/>
    <col min="11777" max="11777" width="47.7109375" style="261" customWidth="1"/>
    <col min="11778" max="11778" width="13.140625" style="261" customWidth="1"/>
    <col min="11779" max="11779" width="10.5703125" style="261" customWidth="1"/>
    <col min="11780" max="11780" width="11.140625" style="261" customWidth="1"/>
    <col min="11781" max="11781" width="10.85546875" style="261" customWidth="1"/>
    <col min="11782" max="11782" width="13.85546875" style="261" customWidth="1"/>
    <col min="11783" max="11783" width="10" style="261" customWidth="1"/>
    <col min="11784" max="11784" width="10.5703125" style="261" customWidth="1"/>
    <col min="11785" max="11785" width="8.42578125" style="261" customWidth="1"/>
    <col min="11786" max="11999" width="9.140625" style="261"/>
    <col min="12000" max="12000" width="15.5703125" style="261" customWidth="1"/>
    <col min="12001" max="12001" width="40" style="261" customWidth="1"/>
    <col min="12002" max="12005" width="12.7109375" style="261" customWidth="1"/>
    <col min="12006" max="12006" width="9.28515625" style="261" customWidth="1"/>
    <col min="12007" max="12010" width="12.7109375" style="261" customWidth="1"/>
    <col min="12011" max="12011" width="9.5703125" style="261" customWidth="1"/>
    <col min="12012" max="12016" width="12.7109375" style="261" customWidth="1"/>
    <col min="12017" max="12017" width="9.42578125" style="261" customWidth="1"/>
    <col min="12018" max="12018" width="12.7109375" style="261" customWidth="1"/>
    <col min="12019" max="12019" width="9.5703125" style="261" customWidth="1"/>
    <col min="12020" max="12020" width="9.7109375" style="261" bestFit="1" customWidth="1"/>
    <col min="12021" max="12032" width="9.140625" style="261"/>
    <col min="12033" max="12033" width="47.7109375" style="261" customWidth="1"/>
    <col min="12034" max="12034" width="13.140625" style="261" customWidth="1"/>
    <col min="12035" max="12035" width="10.5703125" style="261" customWidth="1"/>
    <col min="12036" max="12036" width="11.140625" style="261" customWidth="1"/>
    <col min="12037" max="12037" width="10.85546875" style="261" customWidth="1"/>
    <col min="12038" max="12038" width="13.85546875" style="261" customWidth="1"/>
    <col min="12039" max="12039" width="10" style="261" customWidth="1"/>
    <col min="12040" max="12040" width="10.5703125" style="261" customWidth="1"/>
    <col min="12041" max="12041" width="8.42578125" style="261" customWidth="1"/>
    <col min="12042" max="12255" width="9.140625" style="261"/>
    <col min="12256" max="12256" width="15.5703125" style="261" customWidth="1"/>
    <col min="12257" max="12257" width="40" style="261" customWidth="1"/>
    <col min="12258" max="12261" width="12.7109375" style="261" customWidth="1"/>
    <col min="12262" max="12262" width="9.28515625" style="261" customWidth="1"/>
    <col min="12263" max="12266" width="12.7109375" style="261" customWidth="1"/>
    <col min="12267" max="12267" width="9.5703125" style="261" customWidth="1"/>
    <col min="12268" max="12272" width="12.7109375" style="261" customWidth="1"/>
    <col min="12273" max="12273" width="9.42578125" style="261" customWidth="1"/>
    <col min="12274" max="12274" width="12.7109375" style="261" customWidth="1"/>
    <col min="12275" max="12275" width="9.5703125" style="261" customWidth="1"/>
    <col min="12276" max="12276" width="9.7109375" style="261" bestFit="1" customWidth="1"/>
    <col min="12277" max="12288" width="9.140625" style="261"/>
    <col min="12289" max="12289" width="47.7109375" style="261" customWidth="1"/>
    <col min="12290" max="12290" width="13.140625" style="261" customWidth="1"/>
    <col min="12291" max="12291" width="10.5703125" style="261" customWidth="1"/>
    <col min="12292" max="12292" width="11.140625" style="261" customWidth="1"/>
    <col min="12293" max="12293" width="10.85546875" style="261" customWidth="1"/>
    <col min="12294" max="12294" width="13.85546875" style="261" customWidth="1"/>
    <col min="12295" max="12295" width="10" style="261" customWidth="1"/>
    <col min="12296" max="12296" width="10.5703125" style="261" customWidth="1"/>
    <col min="12297" max="12297" width="8.42578125" style="261" customWidth="1"/>
    <col min="12298" max="12511" width="9.140625" style="261"/>
    <col min="12512" max="12512" width="15.5703125" style="261" customWidth="1"/>
    <col min="12513" max="12513" width="40" style="261" customWidth="1"/>
    <col min="12514" max="12517" width="12.7109375" style="261" customWidth="1"/>
    <col min="12518" max="12518" width="9.28515625" style="261" customWidth="1"/>
    <col min="12519" max="12522" width="12.7109375" style="261" customWidth="1"/>
    <col min="12523" max="12523" width="9.5703125" style="261" customWidth="1"/>
    <col min="12524" max="12528" width="12.7109375" style="261" customWidth="1"/>
    <col min="12529" max="12529" width="9.42578125" style="261" customWidth="1"/>
    <col min="12530" max="12530" width="12.7109375" style="261" customWidth="1"/>
    <col min="12531" max="12531" width="9.5703125" style="261" customWidth="1"/>
    <col min="12532" max="12532" width="9.7109375" style="261" bestFit="1" customWidth="1"/>
    <col min="12533" max="12544" width="9.140625" style="261"/>
    <col min="12545" max="12545" width="47.7109375" style="261" customWidth="1"/>
    <col min="12546" max="12546" width="13.140625" style="261" customWidth="1"/>
    <col min="12547" max="12547" width="10.5703125" style="261" customWidth="1"/>
    <col min="12548" max="12548" width="11.140625" style="261" customWidth="1"/>
    <col min="12549" max="12549" width="10.85546875" style="261" customWidth="1"/>
    <col min="12550" max="12550" width="13.85546875" style="261" customWidth="1"/>
    <col min="12551" max="12551" width="10" style="261" customWidth="1"/>
    <col min="12552" max="12552" width="10.5703125" style="261" customWidth="1"/>
    <col min="12553" max="12553" width="8.42578125" style="261" customWidth="1"/>
    <col min="12554" max="12767" width="9.140625" style="261"/>
    <col min="12768" max="12768" width="15.5703125" style="261" customWidth="1"/>
    <col min="12769" max="12769" width="40" style="261" customWidth="1"/>
    <col min="12770" max="12773" width="12.7109375" style="261" customWidth="1"/>
    <col min="12774" max="12774" width="9.28515625" style="261" customWidth="1"/>
    <col min="12775" max="12778" width="12.7109375" style="261" customWidth="1"/>
    <col min="12779" max="12779" width="9.5703125" style="261" customWidth="1"/>
    <col min="12780" max="12784" width="12.7109375" style="261" customWidth="1"/>
    <col min="12785" max="12785" width="9.42578125" style="261" customWidth="1"/>
    <col min="12786" max="12786" width="12.7109375" style="261" customWidth="1"/>
    <col min="12787" max="12787" width="9.5703125" style="261" customWidth="1"/>
    <col min="12788" max="12788" width="9.7109375" style="261" bestFit="1" customWidth="1"/>
    <col min="12789" max="12800" width="9.140625" style="261"/>
    <col min="12801" max="12801" width="47.7109375" style="261" customWidth="1"/>
    <col min="12802" max="12802" width="13.140625" style="261" customWidth="1"/>
    <col min="12803" max="12803" width="10.5703125" style="261" customWidth="1"/>
    <col min="12804" max="12804" width="11.140625" style="261" customWidth="1"/>
    <col min="12805" max="12805" width="10.85546875" style="261" customWidth="1"/>
    <col min="12806" max="12806" width="13.85546875" style="261" customWidth="1"/>
    <col min="12807" max="12807" width="10" style="261" customWidth="1"/>
    <col min="12808" max="12808" width="10.5703125" style="261" customWidth="1"/>
    <col min="12809" max="12809" width="8.42578125" style="261" customWidth="1"/>
    <col min="12810" max="13023" width="9.140625" style="261"/>
    <col min="13024" max="13024" width="15.5703125" style="261" customWidth="1"/>
    <col min="13025" max="13025" width="40" style="261" customWidth="1"/>
    <col min="13026" max="13029" width="12.7109375" style="261" customWidth="1"/>
    <col min="13030" max="13030" width="9.28515625" style="261" customWidth="1"/>
    <col min="13031" max="13034" width="12.7109375" style="261" customWidth="1"/>
    <col min="13035" max="13035" width="9.5703125" style="261" customWidth="1"/>
    <col min="13036" max="13040" width="12.7109375" style="261" customWidth="1"/>
    <col min="13041" max="13041" width="9.42578125" style="261" customWidth="1"/>
    <col min="13042" max="13042" width="12.7109375" style="261" customWidth="1"/>
    <col min="13043" max="13043" width="9.5703125" style="261" customWidth="1"/>
    <col min="13044" max="13044" width="9.7109375" style="261" bestFit="1" customWidth="1"/>
    <col min="13045" max="13056" width="9.140625" style="261"/>
    <col min="13057" max="13057" width="47.7109375" style="261" customWidth="1"/>
    <col min="13058" max="13058" width="13.140625" style="261" customWidth="1"/>
    <col min="13059" max="13059" width="10.5703125" style="261" customWidth="1"/>
    <col min="13060" max="13060" width="11.140625" style="261" customWidth="1"/>
    <col min="13061" max="13061" width="10.85546875" style="261" customWidth="1"/>
    <col min="13062" max="13062" width="13.85546875" style="261" customWidth="1"/>
    <col min="13063" max="13063" width="10" style="261" customWidth="1"/>
    <col min="13064" max="13064" width="10.5703125" style="261" customWidth="1"/>
    <col min="13065" max="13065" width="8.42578125" style="261" customWidth="1"/>
    <col min="13066" max="13279" width="9.140625" style="261"/>
    <col min="13280" max="13280" width="15.5703125" style="261" customWidth="1"/>
    <col min="13281" max="13281" width="40" style="261" customWidth="1"/>
    <col min="13282" max="13285" width="12.7109375" style="261" customWidth="1"/>
    <col min="13286" max="13286" width="9.28515625" style="261" customWidth="1"/>
    <col min="13287" max="13290" width="12.7109375" style="261" customWidth="1"/>
    <col min="13291" max="13291" width="9.5703125" style="261" customWidth="1"/>
    <col min="13292" max="13296" width="12.7109375" style="261" customWidth="1"/>
    <col min="13297" max="13297" width="9.42578125" style="261" customWidth="1"/>
    <col min="13298" max="13298" width="12.7109375" style="261" customWidth="1"/>
    <col min="13299" max="13299" width="9.5703125" style="261" customWidth="1"/>
    <col min="13300" max="13300" width="9.7109375" style="261" bestFit="1" customWidth="1"/>
    <col min="13301" max="13312" width="9.140625" style="261"/>
    <col min="13313" max="13313" width="47.7109375" style="261" customWidth="1"/>
    <col min="13314" max="13314" width="13.140625" style="261" customWidth="1"/>
    <col min="13315" max="13315" width="10.5703125" style="261" customWidth="1"/>
    <col min="13316" max="13316" width="11.140625" style="261" customWidth="1"/>
    <col min="13317" max="13317" width="10.85546875" style="261" customWidth="1"/>
    <col min="13318" max="13318" width="13.85546875" style="261" customWidth="1"/>
    <col min="13319" max="13319" width="10" style="261" customWidth="1"/>
    <col min="13320" max="13320" width="10.5703125" style="261" customWidth="1"/>
    <col min="13321" max="13321" width="8.42578125" style="261" customWidth="1"/>
    <col min="13322" max="13535" width="9.140625" style="261"/>
    <col min="13536" max="13536" width="15.5703125" style="261" customWidth="1"/>
    <col min="13537" max="13537" width="40" style="261" customWidth="1"/>
    <col min="13538" max="13541" width="12.7109375" style="261" customWidth="1"/>
    <col min="13542" max="13542" width="9.28515625" style="261" customWidth="1"/>
    <col min="13543" max="13546" width="12.7109375" style="261" customWidth="1"/>
    <col min="13547" max="13547" width="9.5703125" style="261" customWidth="1"/>
    <col min="13548" max="13552" width="12.7109375" style="261" customWidth="1"/>
    <col min="13553" max="13553" width="9.42578125" style="261" customWidth="1"/>
    <col min="13554" max="13554" width="12.7109375" style="261" customWidth="1"/>
    <col min="13555" max="13555" width="9.5703125" style="261" customWidth="1"/>
    <col min="13556" max="13556" width="9.7109375" style="261" bestFit="1" customWidth="1"/>
    <col min="13557" max="13568" width="9.140625" style="261"/>
    <col min="13569" max="13569" width="47.7109375" style="261" customWidth="1"/>
    <col min="13570" max="13570" width="13.140625" style="261" customWidth="1"/>
    <col min="13571" max="13571" width="10.5703125" style="261" customWidth="1"/>
    <col min="13572" max="13572" width="11.140625" style="261" customWidth="1"/>
    <col min="13573" max="13573" width="10.85546875" style="261" customWidth="1"/>
    <col min="13574" max="13574" width="13.85546875" style="261" customWidth="1"/>
    <col min="13575" max="13575" width="10" style="261" customWidth="1"/>
    <col min="13576" max="13576" width="10.5703125" style="261" customWidth="1"/>
    <col min="13577" max="13577" width="8.42578125" style="261" customWidth="1"/>
    <col min="13578" max="13791" width="9.140625" style="261"/>
    <col min="13792" max="13792" width="15.5703125" style="261" customWidth="1"/>
    <col min="13793" max="13793" width="40" style="261" customWidth="1"/>
    <col min="13794" max="13797" width="12.7109375" style="261" customWidth="1"/>
    <col min="13798" max="13798" width="9.28515625" style="261" customWidth="1"/>
    <col min="13799" max="13802" width="12.7109375" style="261" customWidth="1"/>
    <col min="13803" max="13803" width="9.5703125" style="261" customWidth="1"/>
    <col min="13804" max="13808" width="12.7109375" style="261" customWidth="1"/>
    <col min="13809" max="13809" width="9.42578125" style="261" customWidth="1"/>
    <col min="13810" max="13810" width="12.7109375" style="261" customWidth="1"/>
    <col min="13811" max="13811" width="9.5703125" style="261" customWidth="1"/>
    <col min="13812" max="13812" width="9.7109375" style="261" bestFit="1" customWidth="1"/>
    <col min="13813" max="13824" width="9.140625" style="261"/>
    <col min="13825" max="13825" width="47.7109375" style="261" customWidth="1"/>
    <col min="13826" max="13826" width="13.140625" style="261" customWidth="1"/>
    <col min="13827" max="13827" width="10.5703125" style="261" customWidth="1"/>
    <col min="13828" max="13828" width="11.140625" style="261" customWidth="1"/>
    <col min="13829" max="13829" width="10.85546875" style="261" customWidth="1"/>
    <col min="13830" max="13830" width="13.85546875" style="261" customWidth="1"/>
    <col min="13831" max="13831" width="10" style="261" customWidth="1"/>
    <col min="13832" max="13832" width="10.5703125" style="261" customWidth="1"/>
    <col min="13833" max="13833" width="8.42578125" style="261" customWidth="1"/>
    <col min="13834" max="14047" width="9.140625" style="261"/>
    <col min="14048" max="14048" width="15.5703125" style="261" customWidth="1"/>
    <col min="14049" max="14049" width="40" style="261" customWidth="1"/>
    <col min="14050" max="14053" width="12.7109375" style="261" customWidth="1"/>
    <col min="14054" max="14054" width="9.28515625" style="261" customWidth="1"/>
    <col min="14055" max="14058" width="12.7109375" style="261" customWidth="1"/>
    <col min="14059" max="14059" width="9.5703125" style="261" customWidth="1"/>
    <col min="14060" max="14064" width="12.7109375" style="261" customWidth="1"/>
    <col min="14065" max="14065" width="9.42578125" style="261" customWidth="1"/>
    <col min="14066" max="14066" width="12.7109375" style="261" customWidth="1"/>
    <col min="14067" max="14067" width="9.5703125" style="261" customWidth="1"/>
    <col min="14068" max="14068" width="9.7109375" style="261" bestFit="1" customWidth="1"/>
    <col min="14069" max="14080" width="9.140625" style="261"/>
    <col min="14081" max="14081" width="47.7109375" style="261" customWidth="1"/>
    <col min="14082" max="14082" width="13.140625" style="261" customWidth="1"/>
    <col min="14083" max="14083" width="10.5703125" style="261" customWidth="1"/>
    <col min="14084" max="14084" width="11.140625" style="261" customWidth="1"/>
    <col min="14085" max="14085" width="10.85546875" style="261" customWidth="1"/>
    <col min="14086" max="14086" width="13.85546875" style="261" customWidth="1"/>
    <col min="14087" max="14087" width="10" style="261" customWidth="1"/>
    <col min="14088" max="14088" width="10.5703125" style="261" customWidth="1"/>
    <col min="14089" max="14089" width="8.42578125" style="261" customWidth="1"/>
    <col min="14090" max="14303" width="9.140625" style="261"/>
    <col min="14304" max="14304" width="15.5703125" style="261" customWidth="1"/>
    <col min="14305" max="14305" width="40" style="261" customWidth="1"/>
    <col min="14306" max="14309" width="12.7109375" style="261" customWidth="1"/>
    <col min="14310" max="14310" width="9.28515625" style="261" customWidth="1"/>
    <col min="14311" max="14314" width="12.7109375" style="261" customWidth="1"/>
    <col min="14315" max="14315" width="9.5703125" style="261" customWidth="1"/>
    <col min="14316" max="14320" width="12.7109375" style="261" customWidth="1"/>
    <col min="14321" max="14321" width="9.42578125" style="261" customWidth="1"/>
    <col min="14322" max="14322" width="12.7109375" style="261" customWidth="1"/>
    <col min="14323" max="14323" width="9.5703125" style="261" customWidth="1"/>
    <col min="14324" max="14324" width="9.7109375" style="261" bestFit="1" customWidth="1"/>
    <col min="14325" max="14336" width="9.140625" style="261"/>
    <col min="14337" max="14337" width="47.7109375" style="261" customWidth="1"/>
    <col min="14338" max="14338" width="13.140625" style="261" customWidth="1"/>
    <col min="14339" max="14339" width="10.5703125" style="261" customWidth="1"/>
    <col min="14340" max="14340" width="11.140625" style="261" customWidth="1"/>
    <col min="14341" max="14341" width="10.85546875" style="261" customWidth="1"/>
    <col min="14342" max="14342" width="13.85546875" style="261" customWidth="1"/>
    <col min="14343" max="14343" width="10" style="261" customWidth="1"/>
    <col min="14344" max="14344" width="10.5703125" style="261" customWidth="1"/>
    <col min="14345" max="14345" width="8.42578125" style="261" customWidth="1"/>
    <col min="14346" max="14559" width="9.140625" style="261"/>
    <col min="14560" max="14560" width="15.5703125" style="261" customWidth="1"/>
    <col min="14561" max="14561" width="40" style="261" customWidth="1"/>
    <col min="14562" max="14565" width="12.7109375" style="261" customWidth="1"/>
    <col min="14566" max="14566" width="9.28515625" style="261" customWidth="1"/>
    <col min="14567" max="14570" width="12.7109375" style="261" customWidth="1"/>
    <col min="14571" max="14571" width="9.5703125" style="261" customWidth="1"/>
    <col min="14572" max="14576" width="12.7109375" style="261" customWidth="1"/>
    <col min="14577" max="14577" width="9.42578125" style="261" customWidth="1"/>
    <col min="14578" max="14578" width="12.7109375" style="261" customWidth="1"/>
    <col min="14579" max="14579" width="9.5703125" style="261" customWidth="1"/>
    <col min="14580" max="14580" width="9.7109375" style="261" bestFit="1" customWidth="1"/>
    <col min="14581" max="14592" width="9.140625" style="261"/>
    <col min="14593" max="14593" width="47.7109375" style="261" customWidth="1"/>
    <col min="14594" max="14594" width="13.140625" style="261" customWidth="1"/>
    <col min="14595" max="14595" width="10.5703125" style="261" customWidth="1"/>
    <col min="14596" max="14596" width="11.140625" style="261" customWidth="1"/>
    <col min="14597" max="14597" width="10.85546875" style="261" customWidth="1"/>
    <col min="14598" max="14598" width="13.85546875" style="261" customWidth="1"/>
    <col min="14599" max="14599" width="10" style="261" customWidth="1"/>
    <col min="14600" max="14600" width="10.5703125" style="261" customWidth="1"/>
    <col min="14601" max="14601" width="8.42578125" style="261" customWidth="1"/>
    <col min="14602" max="14815" width="9.140625" style="261"/>
    <col min="14816" max="14816" width="15.5703125" style="261" customWidth="1"/>
    <col min="14817" max="14817" width="40" style="261" customWidth="1"/>
    <col min="14818" max="14821" width="12.7109375" style="261" customWidth="1"/>
    <col min="14822" max="14822" width="9.28515625" style="261" customWidth="1"/>
    <col min="14823" max="14826" width="12.7109375" style="261" customWidth="1"/>
    <col min="14827" max="14827" width="9.5703125" style="261" customWidth="1"/>
    <col min="14828" max="14832" width="12.7109375" style="261" customWidth="1"/>
    <col min="14833" max="14833" width="9.42578125" style="261" customWidth="1"/>
    <col min="14834" max="14834" width="12.7109375" style="261" customWidth="1"/>
    <col min="14835" max="14835" width="9.5703125" style="261" customWidth="1"/>
    <col min="14836" max="14836" width="9.7109375" style="261" bestFit="1" customWidth="1"/>
    <col min="14837" max="14848" width="9.140625" style="261"/>
    <col min="14849" max="14849" width="47.7109375" style="261" customWidth="1"/>
    <col min="14850" max="14850" width="13.140625" style="261" customWidth="1"/>
    <col min="14851" max="14851" width="10.5703125" style="261" customWidth="1"/>
    <col min="14852" max="14852" width="11.140625" style="261" customWidth="1"/>
    <col min="14853" max="14853" width="10.85546875" style="261" customWidth="1"/>
    <col min="14854" max="14854" width="13.85546875" style="261" customWidth="1"/>
    <col min="14855" max="14855" width="10" style="261" customWidth="1"/>
    <col min="14856" max="14856" width="10.5703125" style="261" customWidth="1"/>
    <col min="14857" max="14857" width="8.42578125" style="261" customWidth="1"/>
    <col min="14858" max="15071" width="9.140625" style="261"/>
    <col min="15072" max="15072" width="15.5703125" style="261" customWidth="1"/>
    <col min="15073" max="15073" width="40" style="261" customWidth="1"/>
    <col min="15074" max="15077" width="12.7109375" style="261" customWidth="1"/>
    <col min="15078" max="15078" width="9.28515625" style="261" customWidth="1"/>
    <col min="15079" max="15082" width="12.7109375" style="261" customWidth="1"/>
    <col min="15083" max="15083" width="9.5703125" style="261" customWidth="1"/>
    <col min="15084" max="15088" width="12.7109375" style="261" customWidth="1"/>
    <col min="15089" max="15089" width="9.42578125" style="261" customWidth="1"/>
    <col min="15090" max="15090" width="12.7109375" style="261" customWidth="1"/>
    <col min="15091" max="15091" width="9.5703125" style="261" customWidth="1"/>
    <col min="15092" max="15092" width="9.7109375" style="261" bestFit="1" customWidth="1"/>
    <col min="15093" max="15104" width="9.140625" style="261"/>
    <col min="15105" max="15105" width="47.7109375" style="261" customWidth="1"/>
    <col min="15106" max="15106" width="13.140625" style="261" customWidth="1"/>
    <col min="15107" max="15107" width="10.5703125" style="261" customWidth="1"/>
    <col min="15108" max="15108" width="11.140625" style="261" customWidth="1"/>
    <col min="15109" max="15109" width="10.85546875" style="261" customWidth="1"/>
    <col min="15110" max="15110" width="13.85546875" style="261" customWidth="1"/>
    <col min="15111" max="15111" width="10" style="261" customWidth="1"/>
    <col min="15112" max="15112" width="10.5703125" style="261" customWidth="1"/>
    <col min="15113" max="15113" width="8.42578125" style="261" customWidth="1"/>
    <col min="15114" max="15327" width="9.140625" style="261"/>
    <col min="15328" max="15328" width="15.5703125" style="261" customWidth="1"/>
    <col min="15329" max="15329" width="40" style="261" customWidth="1"/>
    <col min="15330" max="15333" width="12.7109375" style="261" customWidth="1"/>
    <col min="15334" max="15334" width="9.28515625" style="261" customWidth="1"/>
    <col min="15335" max="15338" width="12.7109375" style="261" customWidth="1"/>
    <col min="15339" max="15339" width="9.5703125" style="261" customWidth="1"/>
    <col min="15340" max="15344" width="12.7109375" style="261" customWidth="1"/>
    <col min="15345" max="15345" width="9.42578125" style="261" customWidth="1"/>
    <col min="15346" max="15346" width="12.7109375" style="261" customWidth="1"/>
    <col min="15347" max="15347" width="9.5703125" style="261" customWidth="1"/>
    <col min="15348" max="15348" width="9.7109375" style="261" bestFit="1" customWidth="1"/>
    <col min="15349" max="15360" width="9.140625" style="261"/>
    <col min="15361" max="15361" width="47.7109375" style="261" customWidth="1"/>
    <col min="15362" max="15362" width="13.140625" style="261" customWidth="1"/>
    <col min="15363" max="15363" width="10.5703125" style="261" customWidth="1"/>
    <col min="15364" max="15364" width="11.140625" style="261" customWidth="1"/>
    <col min="15365" max="15365" width="10.85546875" style="261" customWidth="1"/>
    <col min="15366" max="15366" width="13.85546875" style="261" customWidth="1"/>
    <col min="15367" max="15367" width="10" style="261" customWidth="1"/>
    <col min="15368" max="15368" width="10.5703125" style="261" customWidth="1"/>
    <col min="15369" max="15369" width="8.42578125" style="261" customWidth="1"/>
    <col min="15370" max="15583" width="9.140625" style="261"/>
    <col min="15584" max="15584" width="15.5703125" style="261" customWidth="1"/>
    <col min="15585" max="15585" width="40" style="261" customWidth="1"/>
    <col min="15586" max="15589" width="12.7109375" style="261" customWidth="1"/>
    <col min="15590" max="15590" width="9.28515625" style="261" customWidth="1"/>
    <col min="15591" max="15594" width="12.7109375" style="261" customWidth="1"/>
    <col min="15595" max="15595" width="9.5703125" style="261" customWidth="1"/>
    <col min="15596" max="15600" width="12.7109375" style="261" customWidth="1"/>
    <col min="15601" max="15601" width="9.42578125" style="261" customWidth="1"/>
    <col min="15602" max="15602" width="12.7109375" style="261" customWidth="1"/>
    <col min="15603" max="15603" width="9.5703125" style="261" customWidth="1"/>
    <col min="15604" max="15604" width="9.7109375" style="261" bestFit="1" customWidth="1"/>
    <col min="15605" max="15616" width="9.140625" style="261"/>
    <col min="15617" max="15617" width="47.7109375" style="261" customWidth="1"/>
    <col min="15618" max="15618" width="13.140625" style="261" customWidth="1"/>
    <col min="15619" max="15619" width="10.5703125" style="261" customWidth="1"/>
    <col min="15620" max="15620" width="11.140625" style="261" customWidth="1"/>
    <col min="15621" max="15621" width="10.85546875" style="261" customWidth="1"/>
    <col min="15622" max="15622" width="13.85546875" style="261" customWidth="1"/>
    <col min="15623" max="15623" width="10" style="261" customWidth="1"/>
    <col min="15624" max="15624" width="10.5703125" style="261" customWidth="1"/>
    <col min="15625" max="15625" width="8.42578125" style="261" customWidth="1"/>
    <col min="15626" max="15839" width="9.140625" style="261"/>
    <col min="15840" max="15840" width="15.5703125" style="261" customWidth="1"/>
    <col min="15841" max="15841" width="40" style="261" customWidth="1"/>
    <col min="15842" max="15845" width="12.7109375" style="261" customWidth="1"/>
    <col min="15846" max="15846" width="9.28515625" style="261" customWidth="1"/>
    <col min="15847" max="15850" width="12.7109375" style="261" customWidth="1"/>
    <col min="15851" max="15851" width="9.5703125" style="261" customWidth="1"/>
    <col min="15852" max="15856" width="12.7109375" style="261" customWidth="1"/>
    <col min="15857" max="15857" width="9.42578125" style="261" customWidth="1"/>
    <col min="15858" max="15858" width="12.7109375" style="261" customWidth="1"/>
    <col min="15859" max="15859" width="9.5703125" style="261" customWidth="1"/>
    <col min="15860" max="15860" width="9.7109375" style="261" bestFit="1" customWidth="1"/>
    <col min="15861" max="15872" width="9.140625" style="261"/>
    <col min="15873" max="15873" width="47.7109375" style="261" customWidth="1"/>
    <col min="15874" max="15874" width="13.140625" style="261" customWidth="1"/>
    <col min="15875" max="15875" width="10.5703125" style="261" customWidth="1"/>
    <col min="15876" max="15876" width="11.140625" style="261" customWidth="1"/>
    <col min="15877" max="15877" width="10.85546875" style="261" customWidth="1"/>
    <col min="15878" max="15878" width="13.85546875" style="261" customWidth="1"/>
    <col min="15879" max="15879" width="10" style="261" customWidth="1"/>
    <col min="15880" max="15880" width="10.5703125" style="261" customWidth="1"/>
    <col min="15881" max="15881" width="8.42578125" style="261" customWidth="1"/>
    <col min="15882" max="16095" width="9.140625" style="261"/>
    <col min="16096" max="16096" width="15.5703125" style="261" customWidth="1"/>
    <col min="16097" max="16097" width="40" style="261" customWidth="1"/>
    <col min="16098" max="16101" width="12.7109375" style="261" customWidth="1"/>
    <col min="16102" max="16102" width="9.28515625" style="261" customWidth="1"/>
    <col min="16103" max="16106" width="12.7109375" style="261" customWidth="1"/>
    <col min="16107" max="16107" width="9.5703125" style="261" customWidth="1"/>
    <col min="16108" max="16112" width="12.7109375" style="261" customWidth="1"/>
    <col min="16113" max="16113" width="9.42578125" style="261" customWidth="1"/>
    <col min="16114" max="16114" width="12.7109375" style="261" customWidth="1"/>
    <col min="16115" max="16115" width="9.5703125" style="261" customWidth="1"/>
    <col min="16116" max="16116" width="9.7109375" style="261" bestFit="1" customWidth="1"/>
    <col min="16117" max="16128" width="9.140625" style="261"/>
    <col min="16129" max="16129" width="47.7109375" style="261" customWidth="1"/>
    <col min="16130" max="16130" width="13.140625" style="261" customWidth="1"/>
    <col min="16131" max="16131" width="10.5703125" style="261" customWidth="1"/>
    <col min="16132" max="16132" width="11.140625" style="261" customWidth="1"/>
    <col min="16133" max="16133" width="10.85546875" style="261" customWidth="1"/>
    <col min="16134" max="16134" width="13.85546875" style="261" customWidth="1"/>
    <col min="16135" max="16135" width="10" style="261" customWidth="1"/>
    <col min="16136" max="16136" width="10.5703125" style="261" customWidth="1"/>
    <col min="16137" max="16137" width="8.42578125" style="261" customWidth="1"/>
    <col min="16138" max="16351" width="9.140625" style="261"/>
    <col min="16352" max="16352" width="15.5703125" style="261" customWidth="1"/>
    <col min="16353" max="16353" width="40" style="261" customWidth="1"/>
    <col min="16354" max="16357" width="12.7109375" style="261" customWidth="1"/>
    <col min="16358" max="16358" width="9.28515625" style="261" customWidth="1"/>
    <col min="16359" max="16362" width="12.7109375" style="261" customWidth="1"/>
    <col min="16363" max="16363" width="9.5703125" style="261" customWidth="1"/>
    <col min="16364" max="16368" width="12.7109375" style="261" customWidth="1"/>
    <col min="16369" max="16369" width="9.42578125" style="261" customWidth="1"/>
    <col min="16370" max="16370" width="12.7109375" style="261" customWidth="1"/>
    <col min="16371" max="16371" width="9.5703125" style="261" customWidth="1"/>
    <col min="16372" max="16372" width="9.7109375" style="261" bestFit="1" customWidth="1"/>
    <col min="16373" max="16384" width="9.140625" style="261"/>
  </cols>
  <sheetData>
    <row r="3" spans="1:13" x14ac:dyDescent="0.25">
      <c r="A3" s="469"/>
      <c r="B3" s="469"/>
      <c r="C3" s="469"/>
      <c r="D3" s="469"/>
      <c r="E3" s="469"/>
    </row>
    <row r="5" spans="1:13" ht="18" customHeight="1" x14ac:dyDescent="0.35">
      <c r="A5" s="805" t="s">
        <v>476</v>
      </c>
      <c r="B5" s="806"/>
      <c r="C5" s="806"/>
      <c r="D5" s="806"/>
      <c r="E5" s="806"/>
      <c r="F5" s="806"/>
      <c r="G5" s="806"/>
      <c r="H5" s="806"/>
      <c r="I5" s="806"/>
      <c r="J5" s="806"/>
      <c r="K5" s="806"/>
      <c r="L5" s="806"/>
      <c r="M5" s="806"/>
    </row>
    <row r="6" spans="1:13" x14ac:dyDescent="0.25">
      <c r="A6" s="777"/>
      <c r="F6" s="995" t="s">
        <v>477</v>
      </c>
      <c r="G6" s="995"/>
      <c r="H6" s="995"/>
      <c r="I6" s="995"/>
    </row>
    <row r="7" spans="1:13" ht="75" x14ac:dyDescent="0.25">
      <c r="A7" s="778" t="s">
        <v>317</v>
      </c>
      <c r="F7" s="791" t="s">
        <v>2</v>
      </c>
      <c r="G7" s="791" t="s">
        <v>346</v>
      </c>
      <c r="H7" s="791" t="s">
        <v>1</v>
      </c>
      <c r="I7" s="792" t="s">
        <v>221</v>
      </c>
    </row>
    <row r="8" spans="1:13" x14ac:dyDescent="0.25">
      <c r="A8" s="776" t="s">
        <v>345</v>
      </c>
      <c r="B8" s="776"/>
      <c r="C8" s="776"/>
      <c r="D8" s="776"/>
      <c r="E8" s="776"/>
      <c r="F8" s="793"/>
      <c r="G8" s="793"/>
      <c r="H8" s="793"/>
      <c r="I8" s="793"/>
      <c r="J8" s="441"/>
      <c r="K8" s="441"/>
      <c r="L8" s="441"/>
      <c r="M8" s="441"/>
    </row>
    <row r="9" spans="1:13" ht="30" x14ac:dyDescent="0.25">
      <c r="A9" s="685" t="s">
        <v>311</v>
      </c>
      <c r="F9" s="794">
        <f>('[7]Consl work plan '!E15/'[7]Consl work plan '!E33)*'[7]Consl work plan '!E17+('[7]Consl work plan '!E28/'[7]Consl work plan '!E33)*'[7]Consl work plan '!E30</f>
        <v>5.255591505062971E-2</v>
      </c>
      <c r="G9" s="795">
        <f>('[7]Consl work plan '!E15/'[7]Consl work plan '!E33)*'[7]Consl work plan '!E18+('[7]Consl work plan '!E28/'[7]Consl work plan '!E33)*'[7]Consl work plan '!E31</f>
        <v>0.94744408494937027</v>
      </c>
      <c r="H9" s="795">
        <v>0</v>
      </c>
      <c r="I9" s="795">
        <f t="shared" ref="I9:I15" si="0">SUM(F9:H9)</f>
        <v>1</v>
      </c>
    </row>
    <row r="10" spans="1:13" ht="54" customHeight="1" x14ac:dyDescent="0.25">
      <c r="A10" s="685" t="s">
        <v>355</v>
      </c>
      <c r="F10" s="795">
        <f>('[7]Consl work plan '!E41/'[7]Consl work plan '!E126)*'[7]Consl work plan '!E43+('[7]Consl work plan '!E52/'[7]Consl work plan '!E126)*'[7]Consl work plan '!E54+('[7]Consl work plan '!E65/'[7]Consl work plan '!E126)*'[7]Consl work plan '!E67+('[7]Consl work plan '!E76/'[7]Consl work plan '!E126)*'[7]Consl work plan '!E78+('[7]Consl work plan '!E88/'[7]Consl work plan '!E126)*'[7]Consl work plan '!E90+('[7]Consl work plan '!E98/'[7]Consl work plan '!E126)*'[7]Consl work plan '!E100+('[7]Consl work plan '!E112/'[7]Consl work plan '!E126)*'[7]Consl work plan '!E114+('[7]Consl work plan '!E121/'[7]Consl work plan '!E126)*'[7]Consl work plan '!E123</f>
        <v>0.1199253928663241</v>
      </c>
      <c r="G10" s="795">
        <f>('[7]Consl work plan '!E41/'[7]Consl work plan '!E126)*'[7]Consl work plan '!E44+('[7]Consl work plan '!E52/'[7]Consl work plan '!E126)*'[7]Consl work plan '!E55+('[7]Consl work plan '!E65/'[7]Consl work plan '!E126)*'[7]Consl work plan '!E68+('[7]Consl work plan '!E76/'[7]Consl work plan '!E126)*'[7]Consl work plan '!E79+('[7]Consl work plan '!E88/'[7]Consl work plan '!E126)*'[7]Consl work plan '!E91+('[7]Consl work plan '!E98/'[7]Consl work plan '!E126)*'[7]Consl work plan '!E101+('[7]Consl work plan '!E112/'[7]Consl work plan '!E126)*'[7]Consl work plan '!E115+('[7]Consl work plan '!E121/'[7]Consl work plan '!E126)*'[7]Consl work plan '!E124</f>
        <v>0.8800746071336758</v>
      </c>
      <c r="H10" s="795">
        <v>0</v>
      </c>
      <c r="I10" s="795">
        <f t="shared" si="0"/>
        <v>0.99999999999999989</v>
      </c>
    </row>
    <row r="11" spans="1:13" ht="90.75" customHeight="1" x14ac:dyDescent="0.25">
      <c r="A11" s="686" t="s">
        <v>313</v>
      </c>
      <c r="B11" s="261"/>
      <c r="C11" s="261"/>
      <c r="D11" s="261"/>
      <c r="E11" s="261"/>
      <c r="F11" s="795">
        <f>('[7]Consl work plan '!E143/'[7]Consl work plan '!E189)*'[7]Consl work plan '!E145+('[7]Consl work plan '!E156/'[7]Consl work plan '!E189)*'[7]Consl work plan '!E158+('[7]Consl work plan '!E170/'[7]Consl work plan '!E189)*'[7]Consl work plan '!E172+('[7]Consl work plan '!E184/'[7]Consl work plan '!E189)*'[7]Consl work plan '!E186</f>
        <v>0.30643994211287989</v>
      </c>
      <c r="G11" s="795">
        <f>('[7]Consl work plan '!E143/'[7]Consl work plan '!E189)*'[7]Consl work plan '!E146+('[7]Consl work plan '!E156/'[7]Consl work plan '!E189)*'[7]Consl work plan '!E159+('[7]Consl work plan '!E170/'[7]Consl work plan '!E189)*'[7]Consl work plan '!E173+('[7]Consl work plan '!E184/'[7]Consl work plan '!E189)*'[7]Consl work plan '!E187</f>
        <v>0.69356005788712005</v>
      </c>
      <c r="H11" s="796">
        <v>0</v>
      </c>
      <c r="I11" s="795">
        <f t="shared" si="0"/>
        <v>1</v>
      </c>
    </row>
    <row r="12" spans="1:13" ht="30" x14ac:dyDescent="0.25">
      <c r="A12" s="686" t="s">
        <v>461</v>
      </c>
      <c r="B12" s="261"/>
      <c r="C12" s="261"/>
      <c r="D12" s="261"/>
      <c r="E12" s="261"/>
      <c r="F12" s="795">
        <f>('[7]Consl work plan '!E199/'[7]Consl work plan '!E217)*'[7]Consl work plan '!E201+('[7]Consl work plan '!E212/'[7]Consl work plan '!E217)*'[7]Consl work plan '!E214</f>
        <v>0.19407540132210654</v>
      </c>
      <c r="G12" s="795">
        <f>('[7]Consl work plan '!E199/'[7]Consl work plan '!E217)*'[7]Consl work plan '!E202+('[7]Consl work plan '!E212/'[7]Consl work plan '!E217)*'[7]Consl work plan '!E215</f>
        <v>0.80584692879651043</v>
      </c>
      <c r="H12" s="795">
        <v>0</v>
      </c>
      <c r="I12" s="795">
        <f t="shared" si="0"/>
        <v>0.99992233011861698</v>
      </c>
    </row>
    <row r="13" spans="1:13" ht="45" x14ac:dyDescent="0.25">
      <c r="A13" s="686" t="s">
        <v>462</v>
      </c>
      <c r="B13" s="261"/>
      <c r="C13" s="261"/>
      <c r="D13" s="261"/>
      <c r="E13" s="261"/>
      <c r="F13" s="797">
        <f>('[7]Consl work plan '!E225/'[7]Consl work plan '!E243)*'[7]Consl work plan '!E227+('[7]Consl work plan '!E238/'[7]Consl work plan '!E243)*'[7]Consl work plan '!E240</f>
        <v>0.49211732512399525</v>
      </c>
      <c r="G13" s="795">
        <f>('[7]Consl work plan '!E225/'[7]Consl work plan '!E243)*'[7]Consl work plan '!E228+('[7]Consl work plan '!E238/'[7]Consl work plan '!E243)*'[7]Consl work plan '!E241</f>
        <v>0.5078826748760048</v>
      </c>
      <c r="H13" s="795">
        <v>0</v>
      </c>
      <c r="I13" s="795">
        <f t="shared" si="0"/>
        <v>1</v>
      </c>
    </row>
    <row r="14" spans="1:13" ht="45" x14ac:dyDescent="0.25">
      <c r="A14" s="687" t="s">
        <v>347</v>
      </c>
      <c r="B14" s="261"/>
      <c r="C14" s="261"/>
      <c r="D14" s="261"/>
      <c r="E14" s="261"/>
      <c r="F14" s="795">
        <f>('[7]Consl work plan '!E255/'[7]Consl work plan '!E284)*'[7]Consl work plan '!E258+('[7]Consl work plan '!E269/'[7]Consl work plan '!E284)*'[7]Consl work plan '!E271+('[7]Consl work plan '!E279/'[7]Consl work plan '!E284)*'[7]Consl work plan '!E281</f>
        <v>0.33980401338790406</v>
      </c>
      <c r="G14" s="795">
        <f>('[7]Consl work plan '!E255/'[7]Consl work plan '!E284)*'[7]Consl work plan '!E258+('[7]Consl work plan '!E269/'[7]Consl work plan '!E284)*'[7]Consl work plan '!E272+('[7]Consl work plan '!E279/'[7]Consl work plan '!E284)*'[7]Consl work plan '!E282</f>
        <v>0.56572786070786374</v>
      </c>
      <c r="H14" s="795">
        <f>('[7]Consl work plan '!E255/'[7]Consl work plan '!E284)*'[7]Consl work plan '!E259+('[7]Consl work plan '!E269/'[7]Consl work plan '!E284)*'[7]Consl work plan '!E273+('[7]Consl work plan '!E279/'[7]Consl work plan '!E284)*'[7]Consl work plan '!E283</f>
        <v>9.4468125904232009E-2</v>
      </c>
      <c r="I14" s="795">
        <f t="shared" si="0"/>
        <v>0.99999999999999989</v>
      </c>
    </row>
    <row r="15" spans="1:13" ht="75" x14ac:dyDescent="0.25">
      <c r="A15" s="688" t="s">
        <v>316</v>
      </c>
      <c r="B15" s="261"/>
      <c r="C15" s="261"/>
      <c r="D15" s="261"/>
      <c r="E15" s="261"/>
      <c r="F15" s="798">
        <f>('[7]Consl work plan '!E293/'[7]Consl work plan '!E340)*'[7]Consl work plan '!E296+('[7]Consl work plan '!E303/'[7]Consl work plan '!E340)*'[7]Consl work plan '!E306+('[7]Consl work plan '!E315/'[7]Consl work plan '!E340)*'[7]Consl work plan '!E317+('[7]Consl work plan '!E324/'[7]Consl work plan '!E340)*'[7]Consl work plan '!E326+('[7]Consl work plan '!E335/'[7]Consl work plan '!E340)*'[7]Consl work plan '!E337</f>
        <v>3.9308952030086913E-2</v>
      </c>
      <c r="G15" s="798">
        <f>('[7]Consl work plan '!E293/'[7]Consl work plan '!E340)*'[7]Consl work plan '!E296+('[7]Consl work plan '!E303/'[7]Consl work plan '!E340)*'[7]Consl work plan '!E306+('[7]Consl work plan '!E315/'[7]Consl work plan '!E340)*'[7]Consl work plan '!E318+('[7]Consl work plan '!E324/'[7]Consl work plan '!E340)*'[7]Consl work plan '!E327+('[7]Consl work plan '!E335/'[7]Consl work plan '!E340)*'[7]Consl work plan '!E338</f>
        <v>0.35378056827078225</v>
      </c>
      <c r="H15" s="795">
        <f>('[7]Consl work plan '!E293/'[7]Consl work plan '!E340)*'[7]Consl work plan '!E297+('[7]Consl work plan '!E303/'[7]Consl work plan '!E340)*'[7]Consl work plan '!E307+('[7]Consl work plan '!E315/'[7]Consl work plan '!E340)*'[7]Consl work plan '!E319+('[7]Consl work plan '!E335/'[7]Consl work plan '!E340)*'[7]Consl work plan '!E339+('[7]Consl work plan '!E324/'[7]Consl work plan '!E340)*'[7]Consl work plan '!E328</f>
        <v>0.60691047969913081</v>
      </c>
      <c r="I15" s="795">
        <f t="shared" si="0"/>
        <v>1</v>
      </c>
    </row>
    <row r="16" spans="1:13" ht="23.25" x14ac:dyDescent="0.35">
      <c r="A16" s="800" t="s">
        <v>532</v>
      </c>
      <c r="B16" s="807">
        <f>AVERAGE(B22:B28)</f>
        <v>0.21431116632833583</v>
      </c>
      <c r="C16" s="807">
        <f>AVERAGE(C22:C28)</f>
        <v>0.55200654723602982</v>
      </c>
      <c r="D16" s="807">
        <f>AVERAGE(D22:D28)</f>
        <v>0.23367432609088487</v>
      </c>
      <c r="E16" s="807">
        <f>AVERAGE(E22:E28)</f>
        <v>0.99999203965525052</v>
      </c>
      <c r="F16" s="807">
        <f>AVERAGE(F9:F15)</f>
        <v>0.2206038488419895</v>
      </c>
      <c r="G16" s="807">
        <f>AVERAGE(G9:G15)</f>
        <v>0.67918811180304672</v>
      </c>
      <c r="H16" s="807">
        <f>AVERAGE(H9:H15)</f>
        <v>0.10019694365762326</v>
      </c>
      <c r="I16" s="807">
        <f>AVERAGE(I9:I15)</f>
        <v>0.99998890430265952</v>
      </c>
      <c r="J16" s="807">
        <f>AVERAGE(F22:F28)</f>
        <v>0.21656446614352093</v>
      </c>
      <c r="K16" s="807">
        <f>AVERAGE(G22:G28)</f>
        <v>0.64043997263628893</v>
      </c>
      <c r="L16" s="807">
        <f>AVERAGE(H22:H28)</f>
        <v>0.14298601003767544</v>
      </c>
      <c r="M16" s="807">
        <f>AVERAGE(I22:I28)</f>
        <v>0.99999044881748544</v>
      </c>
    </row>
    <row r="20" spans="1:9" x14ac:dyDescent="0.25">
      <c r="B20" s="994" t="s">
        <v>534</v>
      </c>
      <c r="C20" s="994"/>
      <c r="D20" s="994"/>
      <c r="E20" s="994"/>
      <c r="F20" s="994" t="s">
        <v>477</v>
      </c>
      <c r="G20" s="994"/>
      <c r="H20" s="994"/>
      <c r="I20" s="994"/>
    </row>
    <row r="21" spans="1:9" ht="45" x14ac:dyDescent="0.25">
      <c r="A21" s="808"/>
      <c r="B21" s="809" t="s">
        <v>2</v>
      </c>
      <c r="C21" s="809" t="s">
        <v>346</v>
      </c>
      <c r="D21" s="809" t="s">
        <v>1</v>
      </c>
      <c r="E21" s="810" t="s">
        <v>304</v>
      </c>
      <c r="F21" s="783" t="s">
        <v>2</v>
      </c>
      <c r="G21" s="783" t="s">
        <v>346</v>
      </c>
      <c r="H21" s="783" t="s">
        <v>1</v>
      </c>
      <c r="I21" s="783" t="s">
        <v>221</v>
      </c>
    </row>
    <row r="22" spans="1:9" ht="30" x14ac:dyDescent="0.25">
      <c r="A22" s="685" t="s">
        <v>311</v>
      </c>
      <c r="B22" s="779">
        <f>('[8]Consl worksheet'!F17/'[8]Consl worksheet'!F36)*'[8]Consl worksheet'!F19+('[8]Consl worksheet'!F31/'[8]Consl worksheet'!F36)*'[8]Consl worksheet'!F33</f>
        <v>0.11068215538468096</v>
      </c>
      <c r="C22" s="482">
        <f>('[8]Consl worksheet'!F17/'[8]Consl worksheet'!F36)*'[8]Consl worksheet'!F20+('[8]Consl worksheet'!F31/'[8]Consl worksheet'!F36)*'[8]Consl worksheet'!F34</f>
        <v>0.88931784461531904</v>
      </c>
      <c r="D22" s="482">
        <v>0</v>
      </c>
      <c r="E22" s="780">
        <f t="shared" ref="E22:E28" si="1">SUM(B22:D22)</f>
        <v>1</v>
      </c>
      <c r="F22" s="665">
        <f>(6062317/11791070)*F9+(5728754/11791070)*B22</f>
        <v>8.0796862172016704E-2</v>
      </c>
      <c r="G22" s="476">
        <f>(6062317/11791070)*G9+(5728754/11791070)*C22</f>
        <v>0.91920322263792853</v>
      </c>
      <c r="H22" s="476">
        <v>0</v>
      </c>
      <c r="I22" s="476">
        <f t="shared" ref="I22:I28" si="2">SUM(F22:H22)</f>
        <v>1.0000000848099453</v>
      </c>
    </row>
    <row r="23" spans="1:9" ht="45" x14ac:dyDescent="0.25">
      <c r="A23" s="685" t="s">
        <v>355</v>
      </c>
      <c r="B23" s="482">
        <f>('[8]Consl worksheet'!F49/'[8]Consl worksheet'!F140)*'[8]Consl worksheet'!F51+('[8]Consl worksheet'!F60/'[8]Consl worksheet'!F140)*'[8]Consl worksheet'!F62+('[8]Consl worksheet'!F73/'[8]Consl worksheet'!F140)*'[8]Consl worksheet'!F75+('[8]Consl worksheet'!F85/'[8]Consl worksheet'!F140)*'[8]Consl worksheet'!F87+('[8]Consl worksheet'!F98/'[8]Consl worksheet'!F140)*'[8]Consl worksheet'!F100+('[8]Consl worksheet'!F110/'[8]Consl worksheet'!F140)*'[8]Consl worksheet'!F112+('[8]Consl worksheet'!F123/'[8]Consl worksheet'!F140)*'[8]Consl worksheet'!F125+('[8]Consl worksheet'!F135/'[8]Consl worksheet'!F140)*'[8]Consl worksheet'!F137</f>
        <v>8.5790261411184884E-2</v>
      </c>
      <c r="C23" s="482">
        <f>('[8]Consl worksheet'!F49/'[8]Consl worksheet'!F140)*'[8]Consl worksheet'!F52+('[8]Consl worksheet'!F60/'[8]Consl worksheet'!F140)*'[8]Consl worksheet'!F63+('[8]Consl worksheet'!F73/'[8]Consl worksheet'!F140)*'[8]Consl worksheet'!F76+('[8]Consl worksheet'!F85/'[8]Consl worksheet'!F140)*'[8]Consl worksheet'!F88+('[8]Consl worksheet'!F98/'[8]Consl worksheet'!F140)*'[8]Consl worksheet'!F101+('[8]Consl worksheet'!F110/'[8]Consl worksheet'!F140)*'[8]Consl worksheet'!F113+('[8]Consl worksheet'!F123/'[8]Consl worksheet'!F140)*'[8]Consl worksheet'!F126+('[8]Consl worksheet'!F135/'[8]Consl worksheet'!F140)*'[8]Consl worksheet'!F138</f>
        <v>0.91420973858881527</v>
      </c>
      <c r="D23" s="482">
        <v>0</v>
      </c>
      <c r="E23" s="780">
        <f t="shared" si="1"/>
        <v>1.0000000000000002</v>
      </c>
      <c r="F23" s="476">
        <f>(6003815/9873654)*B23+(3869839/9873654)*F10</f>
        <v>9.9169043265929291E-2</v>
      </c>
      <c r="G23" s="476">
        <f>(6003815/9873654)*C23+(3869839/9873654)*G10</f>
        <v>0.90083095673407088</v>
      </c>
      <c r="H23" s="476">
        <v>0</v>
      </c>
      <c r="I23" s="476">
        <f t="shared" si="2"/>
        <v>1.0000000000000002</v>
      </c>
    </row>
    <row r="24" spans="1:9" ht="75" x14ac:dyDescent="0.25">
      <c r="A24" s="686" t="s">
        <v>313</v>
      </c>
      <c r="B24" s="482">
        <f>('[8]Consl worksheet'!F157/'[8]Consl worksheet'!F225)*'[8]Consl worksheet'!F159+('[8]Consl worksheet'!F167/'[8]Consl worksheet'!F225)*'[8]Consl worksheet'!F169+('[8]Consl worksheet'!F180/'[8]Consl worksheet'!F225)*'[8]Consl worksheet'!F182+('[8]Consl worksheet'!F194/'[8]Consl worksheet'!F225)*'[8]Consl worksheet'!F196+('[8]Consl worksheet'!F207/'[8]Consl worksheet'!F225)*'[8]Consl worksheet'!F209</f>
        <v>0.34824363983928097</v>
      </c>
      <c r="C24" s="482">
        <f>('[8]Consl worksheet'!F157/'[8]Consl worksheet'!F225)*'[8]Consl worksheet'!F160+('[8]Consl worksheet'!F167/'[8]Consl worksheet'!F225)*'[8]Consl worksheet'!F170+('[8]Consl worksheet'!F180/'[8]Consl worksheet'!F225)*'[8]Consl worksheet'!F183+('[8]Consl worksheet'!F194/'[8]Consl worksheet'!F225)*'[8]Consl worksheet'!F197+('[8]Consl worksheet'!F207/'[8]Consl worksheet'!F225)*'[8]Consl worksheet'!F210</f>
        <v>0.65175636016071892</v>
      </c>
      <c r="D24" s="482">
        <v>0</v>
      </c>
      <c r="E24" s="780">
        <f t="shared" si="1"/>
        <v>0.99999999999999989</v>
      </c>
      <c r="F24" s="476">
        <f>(1763966/5460816)*B24+(3696850/5460816)*F11</f>
        <v>0.31994347372127852</v>
      </c>
      <c r="G24" s="476">
        <f>(1763966/5460816)*C24+(3696816/5460816)*G11</f>
        <v>0.68005220805192745</v>
      </c>
      <c r="H24" s="709">
        <v>0</v>
      </c>
      <c r="I24" s="476">
        <f t="shared" si="2"/>
        <v>0.99999568177320597</v>
      </c>
    </row>
    <row r="25" spans="1:9" ht="30" x14ac:dyDescent="0.25">
      <c r="A25" s="686" t="s">
        <v>461</v>
      </c>
      <c r="B25" s="482">
        <f>('[8]Consl worksheet'!F237/'[8]Consl worksheet'!F270)*'[8]Consl worksheet'!F239+('[8]Consl worksheet'!F251/'[8]Consl worksheet'!F270)*'[8]Consl worksheet'!F253+('[8]Consl worksheet'!F265/'[8]Consl worksheet'!F270)*'[8]Consl worksheet'!F267</f>
        <v>0.19942054374979096</v>
      </c>
      <c r="C25" s="482">
        <f>('[8]Consl worksheet'!F237/'[8]Consl worksheet'!F270)*'[8]Consl worksheet'!F240+('[8]Consl worksheet'!F251/'[8]Consl worksheet'!F270)*'[8]Consl worksheet'!F254+('[8]Consl worksheet'!F265/'[8]Consl worksheet'!F270)*'[8]Consl worksheet'!F268</f>
        <v>0.80052373383696251</v>
      </c>
      <c r="D25" s="482">
        <v>0</v>
      </c>
      <c r="E25" s="780">
        <f t="shared" si="1"/>
        <v>0.99994427758675353</v>
      </c>
      <c r="F25" s="476">
        <f>(4152666/6082720)*B25+(1930053/6082720)*F12</f>
        <v>0.1977244920494787</v>
      </c>
      <c r="G25" s="476">
        <f>(4152666/6082720)*C25+(1930053/6082720)*G12</f>
        <v>0.80221265719321222</v>
      </c>
      <c r="H25" s="476">
        <v>0</v>
      </c>
      <c r="I25" s="476">
        <f t="shared" si="2"/>
        <v>0.99993714924269095</v>
      </c>
    </row>
    <row r="26" spans="1:9" ht="45" x14ac:dyDescent="0.25">
      <c r="A26" s="686" t="s">
        <v>462</v>
      </c>
      <c r="B26" s="781">
        <f>('[8]Consl worksheet'!F283/'[8]Consl worksheet'!F316)*'[8]Consl worksheet'!F285+('[8]Consl worksheet'!F297/'[8]Consl worksheet'!F316)*'[8]Consl worksheet'!F299+('[8]Consl worksheet'!F311/'[8]Consl worksheet'!F316)*'[8]Consl worksheet'!F313</f>
        <v>0.43308735359687633</v>
      </c>
      <c r="C26" s="781">
        <f>('[8]Consl worksheet'!F283/'[8]Consl worksheet'!F316)*'[8]Consl worksheet'!F286+('[8]Consl worksheet'!F297/'[8]Consl worksheet'!F316)*'[8]Consl worksheet'!F300+('[8]Consl worksheet'!F311/'[8]Consl worksheet'!F316)*'[8]Consl worksheet'!F314</f>
        <v>0.56691264640312367</v>
      </c>
      <c r="D26" s="482">
        <v>0</v>
      </c>
      <c r="E26" s="781">
        <f t="shared" si="1"/>
        <v>1</v>
      </c>
      <c r="F26" s="671">
        <f>(2502516/5390155)*F13+(2887639/5390155)*B26</f>
        <v>0.46049351320196369</v>
      </c>
      <c r="G26" s="476">
        <f>(2502516/5390155)*G13+(2887639/5390155)*C26</f>
        <v>0.53950648679803637</v>
      </c>
      <c r="H26" s="476">
        <v>0</v>
      </c>
      <c r="I26" s="476">
        <f t="shared" si="2"/>
        <v>1</v>
      </c>
    </row>
    <row r="27" spans="1:9" ht="45" x14ac:dyDescent="0.25">
      <c r="A27" s="687" t="s">
        <v>347</v>
      </c>
      <c r="B27" s="482">
        <f>'[6]Category of support by outcome'!$B$14</f>
        <v>0.32295421031653659</v>
      </c>
      <c r="C27" s="482">
        <f>'[6]Category of support by outcome'!$C$14</f>
        <v>4.1325507047269394E-2</v>
      </c>
      <c r="D27" s="482">
        <f>'[6]Category of support by outcome'!$D$14</f>
        <v>0.63572028263619396</v>
      </c>
      <c r="E27" s="780">
        <f t="shared" si="1"/>
        <v>1</v>
      </c>
      <c r="F27" s="476">
        <f>(1028834/4426805)*B27+(3397972/4426805)*F14</f>
        <v>0.33588802646525578</v>
      </c>
      <c r="G27" s="476">
        <f>(1028834/4426805)*C27+(3397972/4426805)*G14</f>
        <v>0.44385160788033162</v>
      </c>
      <c r="H27" s="476">
        <f>(1028834/4426805)*D27+(3397972/4426805)*H14</f>
        <v>0.22026059155096758</v>
      </c>
      <c r="I27" s="476">
        <f t="shared" si="2"/>
        <v>1.000000225896555</v>
      </c>
    </row>
    <row r="28" spans="1:9" ht="75" x14ac:dyDescent="0.25">
      <c r="A28" s="688" t="s">
        <v>316</v>
      </c>
      <c r="B28" s="782">
        <v>0</v>
      </c>
      <c r="C28" s="782">
        <v>0</v>
      </c>
      <c r="D28" s="482">
        <v>1</v>
      </c>
      <c r="E28" s="781">
        <f t="shared" si="1"/>
        <v>1</v>
      </c>
      <c r="F28" s="799">
        <f>(2587000/5853432)*B28+(3266432/5853432)*F15</f>
        <v>2.1935852128723943E-2</v>
      </c>
      <c r="G28" s="799">
        <f>(2587000/5853432)*C28+(3266432/5853432)*G15</f>
        <v>0.1974226691585155</v>
      </c>
      <c r="H28" s="476">
        <f>(2587000/5853432)*D28+(3266432/5853432)*H15</f>
        <v>0.78064147871276046</v>
      </c>
      <c r="I28" s="476">
        <f t="shared" si="2"/>
        <v>0.99999999999999989</v>
      </c>
    </row>
  </sheetData>
  <mergeCells count="3">
    <mergeCell ref="B20:E20"/>
    <mergeCell ref="F6:I6"/>
    <mergeCell ref="F20:I20"/>
  </mergeCells>
  <pageMargins left="0.43307086614173229" right="0.43307086614173229" top="0.74803149606299213" bottom="0.74803149606299213" header="0.31496062992125984" footer="0.31496062992125984"/>
  <pageSetup paperSize="9" scale="85" fitToHeight="2"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4:DL17"/>
  <sheetViews>
    <sheetView topLeftCell="A7" zoomScale="75" zoomScaleNormal="75" zoomScaleSheetLayoutView="75" workbookViewId="0">
      <selection activeCell="Q12" sqref="Q12"/>
    </sheetView>
  </sheetViews>
  <sheetFormatPr defaultRowHeight="15" x14ac:dyDescent="0.25"/>
  <cols>
    <col min="1" max="1" width="39.85546875" style="350" customWidth="1"/>
    <col min="2" max="2" width="13.140625" style="350" customWidth="1"/>
    <col min="3" max="3" width="9.42578125" style="261" customWidth="1"/>
    <col min="4" max="4" width="8.7109375" style="261" customWidth="1"/>
    <col min="5" max="5" width="10.85546875" style="261" customWidth="1"/>
    <col min="6" max="6" width="13.85546875" style="261" customWidth="1"/>
    <col min="7" max="7" width="10" style="261" customWidth="1"/>
    <col min="8" max="8" width="10.5703125" style="261" customWidth="1"/>
    <col min="9" max="9" width="8.42578125" style="261" customWidth="1"/>
    <col min="10" max="10" width="14.28515625" style="261" customWidth="1"/>
    <col min="11" max="11" width="13.42578125" style="261" customWidth="1"/>
    <col min="12" max="12" width="12.7109375" style="261" customWidth="1"/>
    <col min="13" max="227" width="9.140625" style="261"/>
    <col min="228" max="228" width="15.5703125" style="261" customWidth="1"/>
    <col min="229" max="229" width="40" style="261" customWidth="1"/>
    <col min="230" max="233" width="12.7109375" style="261" customWidth="1"/>
    <col min="234" max="234" width="9.28515625" style="261" customWidth="1"/>
    <col min="235" max="238" width="12.7109375" style="261" customWidth="1"/>
    <col min="239" max="239" width="9.5703125" style="261" customWidth="1"/>
    <col min="240" max="244" width="12.7109375" style="261" customWidth="1"/>
    <col min="245" max="245" width="9.42578125" style="261" customWidth="1"/>
    <col min="246" max="246" width="12.7109375" style="261" customWidth="1"/>
    <col min="247" max="247" width="9.5703125" style="261" customWidth="1"/>
    <col min="248" max="248" width="9.7109375" style="261" bestFit="1" customWidth="1"/>
    <col min="249" max="16384" width="9.140625" style="261"/>
  </cols>
  <sheetData>
    <row r="4" spans="1:116" s="257" customFormat="1" ht="23.25" customHeight="1" x14ac:dyDescent="0.35">
      <c r="A4" s="996" t="s">
        <v>357</v>
      </c>
      <c r="B4" s="996"/>
      <c r="C4" s="996"/>
      <c r="D4" s="996"/>
      <c r="E4" s="996"/>
      <c r="F4" s="996"/>
      <c r="G4" s="996"/>
      <c r="H4" s="996"/>
      <c r="I4" s="996"/>
      <c r="J4" s="996"/>
      <c r="K4" s="996"/>
      <c r="L4" s="996"/>
      <c r="M4" s="996"/>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8"/>
      <c r="BV4" s="258"/>
      <c r="BW4" s="258"/>
      <c r="BX4" s="258"/>
      <c r="BY4" s="258"/>
      <c r="BZ4" s="258"/>
      <c r="CA4" s="258"/>
      <c r="CB4" s="258"/>
      <c r="CC4" s="258"/>
      <c r="CD4" s="258"/>
      <c r="CE4" s="258"/>
      <c r="CF4" s="258"/>
      <c r="CG4" s="258"/>
      <c r="CH4" s="258"/>
      <c r="CI4" s="258"/>
      <c r="CJ4" s="258"/>
      <c r="CK4" s="258"/>
      <c r="CL4" s="258"/>
      <c r="CM4" s="258"/>
      <c r="CN4" s="258"/>
      <c r="CO4" s="258"/>
      <c r="CP4" s="258"/>
      <c r="CQ4" s="258"/>
      <c r="CR4" s="258"/>
      <c r="CS4" s="258"/>
      <c r="CT4" s="258"/>
      <c r="CU4" s="258"/>
      <c r="CV4" s="258"/>
      <c r="CW4" s="258"/>
      <c r="CX4" s="258"/>
      <c r="CY4" s="258"/>
      <c r="CZ4" s="258"/>
      <c r="DA4" s="258"/>
      <c r="DB4" s="258"/>
      <c r="DC4" s="258"/>
      <c r="DD4" s="258"/>
      <c r="DE4" s="258"/>
      <c r="DF4" s="258"/>
      <c r="DG4" s="258"/>
      <c r="DH4" s="258"/>
      <c r="DI4" s="258"/>
      <c r="DJ4" s="258"/>
      <c r="DK4" s="258"/>
      <c r="DL4" s="258"/>
    </row>
    <row r="5" spans="1:116" s="258" customFormat="1" ht="23.25" customHeight="1" thickBot="1" x14ac:dyDescent="0.35">
      <c r="A5" s="1003"/>
      <c r="B5" s="1003"/>
      <c r="C5" s="1003"/>
      <c r="D5" s="1003"/>
      <c r="E5" s="655"/>
    </row>
    <row r="6" spans="1:116" ht="42.75" customHeight="1" x14ac:dyDescent="0.25">
      <c r="A6" s="484"/>
      <c r="B6" s="1000">
        <v>2013</v>
      </c>
      <c r="C6" s="1001"/>
      <c r="D6" s="1001"/>
      <c r="E6" s="1002"/>
      <c r="F6" s="1000">
        <v>2014</v>
      </c>
      <c r="G6" s="1001"/>
      <c r="H6" s="1001"/>
      <c r="I6" s="1004"/>
      <c r="J6" s="1000" t="s">
        <v>358</v>
      </c>
      <c r="K6" s="1001"/>
      <c r="L6" s="1001"/>
      <c r="M6" s="1004"/>
    </row>
    <row r="7" spans="1:116" ht="72.75" customHeight="1" x14ac:dyDescent="0.25">
      <c r="A7" s="664" t="s">
        <v>317</v>
      </c>
      <c r="B7" s="663" t="s">
        <v>2</v>
      </c>
      <c r="C7" s="663" t="s">
        <v>346</v>
      </c>
      <c r="D7" s="663" t="s">
        <v>1</v>
      </c>
      <c r="E7" s="663" t="s">
        <v>221</v>
      </c>
      <c r="F7" s="666" t="s">
        <v>2</v>
      </c>
      <c r="G7" s="667" t="s">
        <v>346</v>
      </c>
      <c r="H7" s="668" t="s">
        <v>1</v>
      </c>
      <c r="I7" s="708" t="s">
        <v>304</v>
      </c>
      <c r="J7" s="666" t="s">
        <v>2</v>
      </c>
      <c r="K7" s="667" t="s">
        <v>346</v>
      </c>
      <c r="L7" s="668" t="s">
        <v>1</v>
      </c>
      <c r="M7" s="708" t="s">
        <v>304</v>
      </c>
    </row>
    <row r="8" spans="1:116" ht="20.25" customHeight="1" x14ac:dyDescent="0.25">
      <c r="A8" s="485" t="s">
        <v>345</v>
      </c>
      <c r="B8" s="475"/>
      <c r="C8" s="475"/>
      <c r="D8" s="475"/>
      <c r="E8" s="475"/>
      <c r="F8" s="477"/>
      <c r="G8" s="478"/>
      <c r="H8" s="479"/>
      <c r="I8" s="670"/>
      <c r="J8" s="477"/>
      <c r="K8" s="478"/>
      <c r="L8" s="479"/>
      <c r="M8" s="670"/>
    </row>
    <row r="9" spans="1:116" ht="52.5" customHeight="1" x14ac:dyDescent="0.25">
      <c r="A9" s="486" t="s">
        <v>311</v>
      </c>
      <c r="B9" s="665" t="e">
        <f>('Secretariat work plan 2014 '!#REF!/'Secretariat work plan 2014 '!#REF!)*'Secretariat work plan 2014 '!#REF!+('Secretariat work plan 2014 '!#REF!/'Secretariat work plan 2014 '!#REF!)*'Secretariat work plan 2014 '!#REF!</f>
        <v>#REF!</v>
      </c>
      <c r="C9" s="476" t="e">
        <f>('Secretariat work plan 2014 '!#REF!/'Secretariat work plan 2014 '!#REF!)*'Secretariat work plan 2014 '!#REF!+('Secretariat work plan 2014 '!#REF!/'Secretariat work plan 2014 '!#REF!)*'Secretariat work plan 2014 '!#REF!</f>
        <v>#REF!</v>
      </c>
      <c r="D9" s="476">
        <v>0</v>
      </c>
      <c r="E9" s="476" t="e">
        <f>SUM(B9:D9)</f>
        <v>#REF!</v>
      </c>
      <c r="F9" s="669" t="e">
        <f>('Secretariat work plan 2014 '!#REF!/'Secretariat work plan 2014 '!#REF!)*'Secretariat work plan 2014 '!#REF!+('Secretariat work plan 2014 '!#REF!/'Secretariat work plan 2014 '!#REF!)*'Secretariat work plan 2014 '!#REF!</f>
        <v>#REF!</v>
      </c>
      <c r="G9" s="482" t="e">
        <f>('Secretariat work plan 2014 '!#REF!/'Secretariat work plan 2014 '!#REF!)*'Secretariat work plan 2014 '!#REF!+('Secretariat work plan 2014 '!#REF!/'Secretariat work plan 2014 '!#REF!)*'Secretariat work plan 2014 '!#REF!</f>
        <v>#REF!</v>
      </c>
      <c r="H9" s="483">
        <v>0</v>
      </c>
      <c r="I9" s="480" t="e">
        <f>SUM(F9:H9)</f>
        <v>#REF!</v>
      </c>
      <c r="J9" s="669" t="e">
        <f>(B9+F9)/2</f>
        <v>#REF!</v>
      </c>
      <c r="K9" s="482" t="e">
        <f>(C9+G9)/2</f>
        <v>#REF!</v>
      </c>
      <c r="L9" s="483">
        <v>0</v>
      </c>
      <c r="M9" s="480" t="e">
        <f>SUM(J9:L9)</f>
        <v>#REF!</v>
      </c>
    </row>
    <row r="10" spans="1:116" ht="58.5" customHeight="1" x14ac:dyDescent="0.25">
      <c r="A10" s="487" t="s">
        <v>355</v>
      </c>
      <c r="B10" s="476" t="e">
        <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f>
        <v>#REF!</v>
      </c>
      <c r="C10" s="476" t="e">
        <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f>
        <v>#REF!</v>
      </c>
      <c r="D10" s="476">
        <v>0</v>
      </c>
      <c r="E10" s="476" t="e">
        <f>SUM(B10:D10)</f>
        <v>#REF!</v>
      </c>
      <c r="F10" s="481" t="e">
        <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f>
        <v>#REF!</v>
      </c>
      <c r="G10" s="481" t="e">
        <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f>
        <v>#REF!</v>
      </c>
      <c r="H10" s="483">
        <v>0</v>
      </c>
      <c r="I10" s="480" t="e">
        <f>SUM(F10:H10)</f>
        <v>#REF!</v>
      </c>
      <c r="J10" s="481" t="e">
        <f>(B10+F10)/2</f>
        <v>#REF!</v>
      </c>
      <c r="K10" s="482" t="e">
        <f>(C10+G10)/2</f>
        <v>#REF!</v>
      </c>
      <c r="L10" s="483">
        <v>0</v>
      </c>
      <c r="M10" s="480" t="e">
        <f>SUM(J10:L10)</f>
        <v>#REF!</v>
      </c>
    </row>
    <row r="11" spans="1:116" ht="70.5" customHeight="1" x14ac:dyDescent="0.25">
      <c r="A11" s="486" t="s">
        <v>312</v>
      </c>
      <c r="B11" s="997" t="s">
        <v>356</v>
      </c>
      <c r="C11" s="998"/>
      <c r="D11" s="998"/>
      <c r="E11" s="998"/>
      <c r="F11" s="998"/>
      <c r="G11" s="998"/>
      <c r="H11" s="998"/>
      <c r="I11" s="998"/>
      <c r="J11" s="998"/>
      <c r="K11" s="998"/>
      <c r="L11" s="998"/>
      <c r="M11" s="999"/>
    </row>
    <row r="12" spans="1:116" ht="93.75" customHeight="1" x14ac:dyDescent="0.25">
      <c r="A12" s="488" t="s">
        <v>313</v>
      </c>
      <c r="B12" s="476" t="e">
        <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f>
        <v>#REF!</v>
      </c>
      <c r="C12" s="476" t="e">
        <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f>
        <v>#REF!</v>
      </c>
      <c r="D12" s="709">
        <v>0</v>
      </c>
      <c r="E12" s="476" t="e">
        <f>SUM(B12:D12)</f>
        <v>#REF!</v>
      </c>
      <c r="F12" s="481" t="e">
        <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f>
        <v>#REF!</v>
      </c>
      <c r="G12" s="481" t="e">
        <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'!#REF!)*'Secretariat work plan 2014 '!#REF!</f>
        <v>#REF!</v>
      </c>
      <c r="H12" s="483">
        <v>0</v>
      </c>
      <c r="I12" s="480" t="e">
        <f>SUM(F12:H12)</f>
        <v>#REF!</v>
      </c>
      <c r="J12" s="481" t="e">
        <f t="shared" ref="J12:K15" si="0">(B12+F12)/2</f>
        <v>#REF!</v>
      </c>
      <c r="K12" s="482" t="e">
        <f t="shared" si="0"/>
        <v>#REF!</v>
      </c>
      <c r="L12" s="483">
        <v>0</v>
      </c>
      <c r="M12" s="480" t="e">
        <f>SUM(J12:L12)</f>
        <v>#REF!</v>
      </c>
    </row>
    <row r="13" spans="1:116" ht="56.25" customHeight="1" x14ac:dyDescent="0.25">
      <c r="A13" s="488" t="s">
        <v>314</v>
      </c>
      <c r="B13" s="707" t="e">
        <f>('Secretariat work plan 2014 '!#REF!/'Secretariat work plan 2014 '!#REF!)*'Secretariat work plan 2014 '!#REF!+('Secretariat work plan 2014 '!#REF!/'Secretariat work plan 2014 '!#REF!)*'Secretariat work plan 2014 '!#REF!+('Secretariat work plan 2014 '!#REF!/'Secretariat work plan 2014 '!#REF!)*'Secretariat work plan 2014 '!#REF!</f>
        <v>#REF!</v>
      </c>
      <c r="C13" s="707" t="e">
        <f>('Secretariat work plan 2014 '!#REF!/'Secretariat work plan 2014 '!#REF!)*'Secretariat work plan 2014 '!#REF!+('Secretariat work plan 2014 '!#REF!/'Secretariat work plan 2014 '!#REF!)*'Secretariat work plan 2014 '!#REF!+('Secretariat work plan 2014 '!#REF!/'Secretariat work plan 2014 '!#REF!)*'Secretariat work plan 2014 '!#REF!</f>
        <v>#REF!</v>
      </c>
      <c r="D13" s="707">
        <v>0</v>
      </c>
      <c r="E13" s="707" t="e">
        <f>SUM(B13:D13)</f>
        <v>#REF!</v>
      </c>
      <c r="F13" s="481" t="e">
        <f>('Secretariat work plan 2014 '!#REF!/'Secretariat work plan 2014 '!#REF!)*'Secretariat work plan 2014 '!#REF!+('Secretariat work plan 2014 '!#REF!/'Secretariat work plan 2014 '!#REF!)*'Secretariat work plan 2014 '!#REF!+('Secretariat work plan 2014 '!#REF!/'Secretariat work plan 2014 '!#REF!)*'Secretariat work plan 2014 '!#REF!</f>
        <v>#REF!</v>
      </c>
      <c r="G13" s="481" t="e">
        <f>('Secretariat work plan 2014 '!#REF!/'Secretariat work plan 2014 '!#REF!)*'Secretariat work plan 2014 '!#REF!+('Secretariat work plan 2014 '!#REF!/'Secretariat work plan 2014 '!#REF!)*'Secretariat work plan 2014 '!#REF!+('Secretariat work plan 2014 '!#REF!/'Secretariat work plan 2014 '!#REF!)*'Secretariat work plan 2014 '!#REF!</f>
        <v>#REF!</v>
      </c>
      <c r="H13" s="483">
        <v>0</v>
      </c>
      <c r="I13" s="480" t="e">
        <f>SUM(F13:H13)</f>
        <v>#REF!</v>
      </c>
      <c r="J13" s="481" t="e">
        <f t="shared" si="0"/>
        <v>#REF!</v>
      </c>
      <c r="K13" s="482" t="e">
        <f t="shared" si="0"/>
        <v>#REF!</v>
      </c>
      <c r="L13" s="483">
        <v>0</v>
      </c>
      <c r="M13" s="480" t="e">
        <f>SUM(J13:L13)</f>
        <v>#REF!</v>
      </c>
      <c r="N13" s="706"/>
      <c r="O13" s="706"/>
      <c r="P13" s="706"/>
      <c r="Q13" s="706"/>
      <c r="R13" s="706"/>
    </row>
    <row r="14" spans="1:116" ht="48.75" customHeight="1" x14ac:dyDescent="0.25">
      <c r="A14" s="488" t="s">
        <v>315</v>
      </c>
      <c r="B14" s="671" t="e">
        <f>('Secretariat work plan 2014 '!#REF!/'Secretariat work plan 2014 '!#REF!)*'Secretariat work plan 2014 '!#REF!+('Secretariat work plan 2014 '!#REF!/'Secretariat work plan 2014 '!#REF!)*'Secretariat work plan 2014 '!#REF!+('Secretariat work plan 2014 '!#REF!/'Secretariat work plan 2014 '!#REF!)*'Secretariat work plan 2014 '!#REF!</f>
        <v>#REF!</v>
      </c>
      <c r="C14" s="476" t="e">
        <f>('Secretariat work plan 2014 '!#REF!/'Secretariat work plan 2014 '!#REF!)*'Secretariat work plan 2014 '!#REF!+('Secretariat work plan 2014 '!#REF!/'Secretariat work plan 2014 '!#REF!)*'Secretariat work plan 2014 '!#REF!+('Secretariat work plan 2014 '!#REF!/'Secretariat work plan 2014 '!#REF!)*'Secretariat work plan 2014 '!#REF!</f>
        <v>#REF!</v>
      </c>
      <c r="D14" s="476">
        <v>0</v>
      </c>
      <c r="E14" s="476" t="e">
        <f>SUM(B14:D14)</f>
        <v>#REF!</v>
      </c>
      <c r="F14" s="672" t="e">
        <f>('Secretariat work plan 2014 '!#REF!/'Secretariat work plan 2014 '!#REF!)*'Secretariat work plan 2014 '!#REF!+('Secretariat work plan 2014 '!#REF!/'Secretariat work plan 2014 '!#REF!)*'Secretariat work plan 2014 '!#REF!+('Secretariat work plan 2014 '!#REF!/'Secretariat work plan 2014 '!#REF!)*'Secretariat work plan 2014 '!#REF!</f>
        <v>#REF!</v>
      </c>
      <c r="G14" s="672" t="e">
        <f>('Secretariat work plan 2014 '!#REF!/'Secretariat work plan 2014 '!#REF!)*'Secretariat work plan 2014 '!#REF!+('Secretariat work plan 2014 '!#REF!/'Secretariat work plan 2014 '!#REF!)*'Secretariat work plan 2014 '!#REF!+('Secretariat work plan 2014 '!#REF!/'Secretariat work plan 2014 '!#REF!)*'Secretariat work plan 2014 '!#REF!</f>
        <v>#REF!</v>
      </c>
      <c r="H14" s="483">
        <v>0</v>
      </c>
      <c r="I14" s="673" t="e">
        <f>SUM(F14:H14)</f>
        <v>#REF!</v>
      </c>
      <c r="J14" s="672" t="e">
        <f t="shared" si="0"/>
        <v>#REF!</v>
      </c>
      <c r="K14" s="482" t="e">
        <f t="shared" si="0"/>
        <v>#REF!</v>
      </c>
      <c r="L14" s="483">
        <v>0</v>
      </c>
      <c r="M14" s="673" t="e">
        <f>SUM(J14:L14)</f>
        <v>#REF!</v>
      </c>
    </row>
    <row r="15" spans="1:116" ht="71.25" customHeight="1" x14ac:dyDescent="0.25">
      <c r="A15" s="489" t="s">
        <v>347</v>
      </c>
      <c r="B15" s="476" t="e">
        <f>('Secretariat work plan 2014 '!#REF!/'Secretariat work plan 2014 '!#REF!)*'Secretariat work plan 2014 '!#REF!+('Secretariat work plan 2014 '!#REF!/'Secretariat work plan 2014 '!#REF!)*'Secretariat work plan 2014 '!#REF!</f>
        <v>#REF!</v>
      </c>
      <c r="C15" s="476" t="e">
        <f>('Secretariat work plan 2014 '!#REF!/'Secretariat work plan 2014 '!#REF!)*'Secretariat work plan 2014 '!#REF!+('Secretariat work plan 2014 '!#REF!/'Secretariat work plan 2014 '!#REF!)*'Secretariat work plan 2014 '!#REF!</f>
        <v>#REF!</v>
      </c>
      <c r="D15" s="476" t="e">
        <f>('Secretariat work plan 2014 '!#REF!/'Secretariat work plan 2014 '!#REF!)*'Secretariat work plan 2014 '!#REF!+('Secretariat work plan 2014 '!#REF!/'Secretariat work plan 2014 '!#REF!)*'Secretariat work plan 2014 '!#REF!</f>
        <v>#REF!</v>
      </c>
      <c r="E15" s="476" t="e">
        <f>SUM(B15:D15)</f>
        <v>#REF!</v>
      </c>
      <c r="F15" s="481" t="e">
        <f>('Secretariat work plan 2014 '!#REF!/'Secretariat work plan 2014 '!#REF!)*'Secretariat work plan 2014 '!#REF!+('Secretariat work plan 2014 '!#REF!/'Secretariat work plan 2014 '!#REF!)*'Secretariat work plan 2014 '!#REF!</f>
        <v>#REF!</v>
      </c>
      <c r="G15" s="481" t="e">
        <f>('Secretariat work plan 2014 '!#REF!/'Secretariat work plan 2014 '!#REF!)*'Secretariat work plan 2014 '!#REF!+('Secretariat work plan 2014 '!#REF!/'Secretariat work plan 2014 '!#REF!)*'Secretariat work plan 2014 '!#REF!</f>
        <v>#REF!</v>
      </c>
      <c r="H15" s="481" t="e">
        <f>('Secretariat work plan 2014 '!#REF!/'Secretariat work plan 2014 '!#REF!)*'Secretariat work plan 2014 '!#REF!+('Secretariat work plan 2014 '!#REF!/'Secretariat work plan 2014 '!#REF!)*'Secretariat work plan 2014 '!#REF!</f>
        <v>#REF!</v>
      </c>
      <c r="I15" s="480" t="e">
        <f>SUM(F15:H15)</f>
        <v>#REF!</v>
      </c>
      <c r="J15" s="481" t="e">
        <f t="shared" si="0"/>
        <v>#REF!</v>
      </c>
      <c r="K15" s="482" t="e">
        <f t="shared" si="0"/>
        <v>#REF!</v>
      </c>
      <c r="L15" s="483" t="e">
        <f>(D15+H15)/2</f>
        <v>#REF!</v>
      </c>
      <c r="M15" s="480" t="e">
        <f>SUM(J15:L15)</f>
        <v>#REF!</v>
      </c>
    </row>
    <row r="16" spans="1:116" ht="64.5" customHeight="1" thickBot="1" x14ac:dyDescent="0.3">
      <c r="A16" s="490" t="s">
        <v>316</v>
      </c>
      <c r="B16" s="491">
        <v>0</v>
      </c>
      <c r="C16" s="491">
        <v>0</v>
      </c>
      <c r="D16" s="675">
        <v>1</v>
      </c>
      <c r="E16" s="492">
        <f>SUM(B16:D16)</f>
        <v>1</v>
      </c>
      <c r="F16" s="493">
        <v>0</v>
      </c>
      <c r="G16" s="494">
        <v>0</v>
      </c>
      <c r="H16" s="495">
        <v>1</v>
      </c>
      <c r="I16" s="674">
        <f>SUM(F16:H16)</f>
        <v>1</v>
      </c>
      <c r="J16" s="493">
        <v>0</v>
      </c>
      <c r="K16" s="494">
        <v>0</v>
      </c>
      <c r="L16" s="495">
        <v>1</v>
      </c>
      <c r="M16" s="674">
        <f>SUM(J16:L16)</f>
        <v>1</v>
      </c>
    </row>
    <row r="17" spans="1:5" x14ac:dyDescent="0.25">
      <c r="A17" s="345"/>
      <c r="B17" s="345"/>
      <c r="C17" s="346"/>
      <c r="D17" s="346"/>
      <c r="E17" s="346"/>
    </row>
  </sheetData>
  <mergeCells count="6">
    <mergeCell ref="A4:M4"/>
    <mergeCell ref="B11:M11"/>
    <mergeCell ref="B6:E6"/>
    <mergeCell ref="A5:D5"/>
    <mergeCell ref="F6:I6"/>
    <mergeCell ref="J6:M6"/>
  </mergeCells>
  <pageMargins left="0.43307086614173229" right="0.43307086614173229" top="0.74803149606299213" bottom="0.74803149606299213" header="0.31496062992125984" footer="0.31496062992125984"/>
  <pageSetup paperSize="9" scale="60" fitToHeight="2"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4:U48"/>
  <sheetViews>
    <sheetView zoomScaleNormal="100" zoomScaleSheetLayoutView="75" workbookViewId="0">
      <pane xSplit="1" ySplit="7" topLeftCell="B8" activePane="bottomRight" state="frozen"/>
      <selection pane="topRight" activeCell="B1" sqref="B1"/>
      <selection pane="bottomLeft" activeCell="A6" sqref="A6"/>
      <selection pane="bottomRight" activeCell="E14" sqref="E14"/>
    </sheetView>
  </sheetViews>
  <sheetFormatPr defaultRowHeight="15" x14ac:dyDescent="0.25"/>
  <cols>
    <col min="1" max="1" width="15.5703125" style="350" customWidth="1"/>
    <col min="2" max="2" width="40" style="350" customWidth="1"/>
    <col min="3" max="6" width="12.7109375" style="350" customWidth="1"/>
    <col min="7" max="7" width="9.28515625" style="350" customWidth="1"/>
    <col min="8" max="10" width="12.7109375" style="350" customWidth="1"/>
    <col min="11" max="11" width="12.7109375" style="261" customWidth="1"/>
    <col min="12" max="12" width="9.5703125" style="261" customWidth="1"/>
    <col min="13" max="17" width="12.7109375" style="261" customWidth="1"/>
    <col min="18" max="18" width="9.42578125" style="352" customWidth="1"/>
    <col min="19" max="19" width="12.7109375" style="261" customWidth="1"/>
    <col min="20" max="20" width="9.5703125" style="261" customWidth="1"/>
    <col min="21" max="21" width="9.7109375" style="261" bestFit="1" customWidth="1"/>
    <col min="22" max="16384" width="9.140625" style="261"/>
  </cols>
  <sheetData>
    <row r="4" spans="1:20" s="257" customFormat="1" ht="23.25" customHeight="1" x14ac:dyDescent="0.35">
      <c r="A4" s="886" t="s">
        <v>323</v>
      </c>
      <c r="B4" s="887"/>
      <c r="C4" s="887"/>
      <c r="D4" s="887"/>
      <c r="E4" s="887"/>
      <c r="F4" s="887"/>
      <c r="G4" s="887"/>
      <c r="H4" s="887"/>
      <c r="I4" s="887"/>
      <c r="J4" s="887"/>
      <c r="K4" s="887"/>
      <c r="L4" s="887"/>
      <c r="M4" s="887"/>
      <c r="N4" s="887"/>
      <c r="O4" s="887"/>
      <c r="P4" s="887"/>
      <c r="Q4" s="887"/>
      <c r="R4" s="887"/>
      <c r="S4" s="887"/>
      <c r="T4" s="1017"/>
    </row>
    <row r="5" spans="1:20" s="258" customFormat="1" ht="23.25" customHeight="1" x14ac:dyDescent="0.35">
      <c r="A5" s="1018"/>
      <c r="B5" s="1019"/>
      <c r="C5" s="1019"/>
      <c r="D5" s="1019"/>
      <c r="E5" s="1019"/>
      <c r="F5" s="1019"/>
      <c r="G5" s="1019"/>
      <c r="H5" s="1019"/>
      <c r="I5" s="1019"/>
      <c r="J5" s="1019"/>
      <c r="K5" s="1019"/>
      <c r="L5" s="1019"/>
      <c r="M5" s="1019"/>
      <c r="N5" s="1019"/>
      <c r="O5" s="1019"/>
      <c r="P5" s="1019"/>
      <c r="Q5" s="1019"/>
      <c r="R5" s="1019"/>
      <c r="S5" s="1019"/>
      <c r="T5" s="1020"/>
    </row>
    <row r="6" spans="1:20" ht="66" customHeight="1" x14ac:dyDescent="0.25">
      <c r="A6" s="1021" t="s">
        <v>260</v>
      </c>
      <c r="B6" s="1022"/>
      <c r="C6" s="1023" t="s">
        <v>14</v>
      </c>
      <c r="D6" s="1024"/>
      <c r="E6" s="1024"/>
      <c r="F6" s="1024"/>
      <c r="G6" s="1025"/>
      <c r="H6" s="1023" t="s">
        <v>13</v>
      </c>
      <c r="I6" s="1024"/>
      <c r="J6" s="1024"/>
      <c r="K6" s="1024"/>
      <c r="L6" s="1025"/>
      <c r="M6" s="587"/>
      <c r="N6" s="1023" t="s">
        <v>324</v>
      </c>
      <c r="O6" s="1024"/>
      <c r="P6" s="1024"/>
      <c r="Q6" s="1024"/>
      <c r="R6" s="1025"/>
      <c r="S6" s="259"/>
      <c r="T6" s="260"/>
    </row>
    <row r="7" spans="1:20" ht="42.75" customHeight="1" x14ac:dyDescent="0.25">
      <c r="A7" s="262" t="s">
        <v>261</v>
      </c>
      <c r="B7" s="263" t="s">
        <v>262</v>
      </c>
      <c r="C7" s="264" t="s">
        <v>100</v>
      </c>
      <c r="D7" s="262" t="s">
        <v>50</v>
      </c>
      <c r="E7" s="265" t="s">
        <v>111</v>
      </c>
      <c r="F7" s="265" t="s">
        <v>221</v>
      </c>
      <c r="G7" s="266" t="s">
        <v>263</v>
      </c>
      <c r="H7" s="264" t="s">
        <v>100</v>
      </c>
      <c r="I7" s="262" t="s">
        <v>50</v>
      </c>
      <c r="J7" s="262" t="s">
        <v>111</v>
      </c>
      <c r="K7" s="265" t="s">
        <v>221</v>
      </c>
      <c r="L7" s="266" t="s">
        <v>263</v>
      </c>
      <c r="M7" s="590" t="s">
        <v>325</v>
      </c>
      <c r="N7" s="264" t="s">
        <v>100</v>
      </c>
      <c r="O7" s="262" t="s">
        <v>50</v>
      </c>
      <c r="P7" s="265" t="s">
        <v>111</v>
      </c>
      <c r="Q7" s="265" t="s">
        <v>221</v>
      </c>
      <c r="R7" s="266" t="s">
        <v>263</v>
      </c>
      <c r="S7" s="263" t="s">
        <v>326</v>
      </c>
      <c r="T7" s="266" t="s">
        <v>263</v>
      </c>
    </row>
    <row r="8" spans="1:20" ht="19.5" customHeight="1" x14ac:dyDescent="0.25">
      <c r="A8" s="267" t="s">
        <v>264</v>
      </c>
      <c r="B8" s="268"/>
      <c r="C8" s="269"/>
      <c r="D8" s="270"/>
      <c r="E8" s="271"/>
      <c r="F8" s="271"/>
      <c r="G8" s="272"/>
      <c r="H8" s="269"/>
      <c r="I8" s="270"/>
      <c r="J8" s="271"/>
      <c r="K8" s="271"/>
      <c r="L8" s="272"/>
      <c r="M8" s="591"/>
      <c r="N8" s="269"/>
      <c r="O8" s="270"/>
      <c r="P8" s="271"/>
      <c r="Q8" s="271"/>
      <c r="R8" s="272"/>
      <c r="S8" s="273"/>
      <c r="T8" s="274"/>
    </row>
    <row r="9" spans="1:20" s="258" customFormat="1" ht="23.25" customHeight="1" x14ac:dyDescent="0.25">
      <c r="A9" s="1010" t="s">
        <v>265</v>
      </c>
      <c r="B9" s="1011"/>
      <c r="C9" s="275"/>
      <c r="D9" s="276"/>
      <c r="E9" s="277"/>
      <c r="F9" s="277"/>
      <c r="G9" s="278"/>
      <c r="H9" s="279"/>
      <c r="I9" s="276"/>
      <c r="J9" s="277"/>
      <c r="K9" s="280"/>
      <c r="L9" s="278"/>
      <c r="M9" s="592"/>
      <c r="N9" s="279"/>
      <c r="O9" s="276"/>
      <c r="P9" s="277"/>
      <c r="Q9" s="280"/>
      <c r="R9" s="278"/>
      <c r="S9" s="281"/>
      <c r="T9" s="282"/>
    </row>
    <row r="10" spans="1:20" ht="52.5" customHeight="1" x14ac:dyDescent="0.25">
      <c r="A10" s="283" t="s">
        <v>266</v>
      </c>
      <c r="B10" s="284" t="s">
        <v>267</v>
      </c>
      <c r="C10" s="285">
        <f>'[2]Consl worksheet'!M14+'[2]Consl worksheet'!M22+'[2]Consl worksheet'!M30+'[2]Consl worksheet'!M46</f>
        <v>6409170.4229999995</v>
      </c>
      <c r="D10" s="286">
        <f>'[2]Consl worksheet'!M54</f>
        <v>315650</v>
      </c>
      <c r="E10" s="287">
        <f>'[2]Consl worksheet'!M38</f>
        <v>144450</v>
      </c>
      <c r="F10" s="288">
        <f t="shared" ref="F10:F15" si="0">SUM(C10:E10)</f>
        <v>6869270.4229999995</v>
      </c>
      <c r="G10" s="289">
        <f>F10/F24</f>
        <v>0.28401867900861105</v>
      </c>
      <c r="H10" s="290">
        <f>'[2]Consl worksheet'!N14+'[2]Consl worksheet'!N22+'[2]Consl worksheet'!N30+'[2]Consl worksheet'!N46</f>
        <v>6665970.4229999995</v>
      </c>
      <c r="I10" s="286">
        <f>'[2]Consl worksheet'!N54</f>
        <v>171200</v>
      </c>
      <c r="J10" s="287">
        <f>'[2]Consl worksheet'!N38</f>
        <v>139100</v>
      </c>
      <c r="K10" s="291">
        <f t="shared" ref="K10:K15" si="1">SUM(H10:J10)</f>
        <v>6976270.4229999995</v>
      </c>
      <c r="L10" s="292">
        <f>K10/K24</f>
        <v>0.25512672270540798</v>
      </c>
      <c r="M10" s="593">
        <f t="shared" ref="M10:M15" si="2">F10+K10</f>
        <v>13845540.845999999</v>
      </c>
      <c r="N10" s="293">
        <f>'[2]Consl worksheet'!P14+'[2]Consl worksheet'!P22+'[2]Consl worksheet'!P30+'[2]Consl worksheet'!P46</f>
        <v>6987100.3209999995</v>
      </c>
      <c r="O10" s="294">
        <f>'[2]Consl worksheet'!P54</f>
        <v>0</v>
      </c>
      <c r="P10" s="291">
        <f>'[2]Consl worksheet'!P38</f>
        <v>125832</v>
      </c>
      <c r="Q10" s="291">
        <f t="shared" ref="Q10:Q15" si="3">SUM(N10:P10)</f>
        <v>7112932.3209999995</v>
      </c>
      <c r="R10" s="292">
        <f>Q10/Q24</f>
        <v>0.25105533112306233</v>
      </c>
      <c r="S10" s="295">
        <f t="shared" ref="S10:S15" si="4">F10+K10+Q10</f>
        <v>20958473.166999999</v>
      </c>
      <c r="T10" s="296">
        <f>S10/S24</f>
        <v>0.26243214779467677</v>
      </c>
    </row>
    <row r="11" spans="1:20" ht="58.5" customHeight="1" x14ac:dyDescent="0.25">
      <c r="A11" s="283" t="s">
        <v>268</v>
      </c>
      <c r="B11" s="297" t="s">
        <v>269</v>
      </c>
      <c r="C11" s="298">
        <f>'[2]Consl worksheet'!M73+'[2]Consl worksheet'!M89+'[2]Consl worksheet'!M105+'[2]Consl worksheet'!M113</f>
        <v>1107450</v>
      </c>
      <c r="D11" s="299">
        <f>'[2]Consl worksheet'!M65+'[2]Consl worksheet'!M81+'[2]Consl worksheet'!M97</f>
        <v>2246891.9300000002</v>
      </c>
      <c r="E11" s="300">
        <v>0</v>
      </c>
      <c r="F11" s="288">
        <f t="shared" si="0"/>
        <v>3354341.93</v>
      </c>
      <c r="G11" s="289">
        <f>F11/F24</f>
        <v>0.13868951216594069</v>
      </c>
      <c r="H11" s="301">
        <f>'[2]Consl worksheet'!N73+'[2]Consl worksheet'!N89+'[2]Consl worksheet'!N105+'[2]Consl worksheet'!N113</f>
        <v>1107450</v>
      </c>
      <c r="I11" s="299">
        <f>'[2]Consl worksheet'!N97+'[2]Consl worksheet'!N81+'[2]Consl worksheet'!N65</f>
        <v>2336461.63</v>
      </c>
      <c r="J11" s="300">
        <v>0</v>
      </c>
      <c r="K11" s="291">
        <f t="shared" si="1"/>
        <v>3443911.63</v>
      </c>
      <c r="L11" s="292">
        <f>K11/K24</f>
        <v>0.1259460763665611</v>
      </c>
      <c r="M11" s="593">
        <f t="shared" si="2"/>
        <v>6798253.5600000005</v>
      </c>
      <c r="N11" s="301">
        <f>'[2]Consl worksheet'!P113+'[2]Consl worksheet'!P105+'[2]Consl worksheet'!P89+'[2]Consl worksheet'!P73</f>
        <v>1428450</v>
      </c>
      <c r="O11" s="299">
        <f>'[2]Consl worksheet'!P65+'[2]Consl worksheet'!P81+'[2]Consl worksheet'!P97</f>
        <v>2486262.6999999997</v>
      </c>
      <c r="P11" s="300">
        <v>0</v>
      </c>
      <c r="Q11" s="291">
        <f t="shared" si="3"/>
        <v>3914712.6999999997</v>
      </c>
      <c r="R11" s="292">
        <f>Q11/Q24</f>
        <v>0.13817219801860639</v>
      </c>
      <c r="S11" s="295">
        <f t="shared" si="4"/>
        <v>10712966.26</v>
      </c>
      <c r="T11" s="296">
        <f>S11/S24</f>
        <v>0.13414272702318869</v>
      </c>
    </row>
    <row r="12" spans="1:20" ht="70.5" customHeight="1" x14ac:dyDescent="0.25">
      <c r="A12" s="283" t="s">
        <v>270</v>
      </c>
      <c r="B12" s="284" t="s">
        <v>271</v>
      </c>
      <c r="C12" s="302">
        <f>'[2]Consl worksheet'!M141</f>
        <v>214000.535</v>
      </c>
      <c r="D12" s="299">
        <f>'[2]Consl worksheet'!M125+'[2]Consl worksheet'!M133+'[2]Consl worksheet'!M152+'[2]Consl worksheet'!M160+'[2]Consl worksheet'!M168</f>
        <v>2135828.0700000003</v>
      </c>
      <c r="E12" s="300">
        <v>0</v>
      </c>
      <c r="F12" s="288">
        <f t="shared" si="0"/>
        <v>2349828.6050000004</v>
      </c>
      <c r="G12" s="289">
        <f>F12/F24</f>
        <v>9.7156637487169656E-2</v>
      </c>
      <c r="H12" s="301">
        <f>'[2]Consl worksheet'!N141</f>
        <v>214000.535</v>
      </c>
      <c r="I12" s="299">
        <f>'[2]Consl worksheet'!N125+'[2]Consl worksheet'!N133+'[2]Consl worksheet'!N152+'[2]Consl worksheet'!N160+'[2]Consl worksheet'!N168</f>
        <v>1829808.0700000003</v>
      </c>
      <c r="J12" s="300">
        <v>0</v>
      </c>
      <c r="K12" s="291">
        <f t="shared" si="1"/>
        <v>2043808.6050000002</v>
      </c>
      <c r="L12" s="292">
        <f>K12/K24</f>
        <v>7.4743402938003023E-2</v>
      </c>
      <c r="M12" s="593">
        <f t="shared" si="2"/>
        <v>4393637.2100000009</v>
      </c>
      <c r="N12" s="301">
        <f>'[2]Consl worksheet'!P141</f>
        <v>214000.42799999999</v>
      </c>
      <c r="O12" s="299">
        <f>'[2]Consl worksheet'!P125+'[2]Consl worksheet'!P133+'[2]Consl worksheet'!P152+'[2]Consl worksheet'!P160+'[2]Consl worksheet'!P168</f>
        <v>1726204.2500000002</v>
      </c>
      <c r="P12" s="300">
        <v>0</v>
      </c>
      <c r="Q12" s="291">
        <f t="shared" si="3"/>
        <v>1940204.6780000003</v>
      </c>
      <c r="R12" s="292">
        <f>Q12/Q24</f>
        <v>6.8480720172707052E-2</v>
      </c>
      <c r="S12" s="295">
        <f t="shared" si="4"/>
        <v>6333841.8880000012</v>
      </c>
      <c r="T12" s="296">
        <f>S12/S24</f>
        <v>7.9309390393806981E-2</v>
      </c>
    </row>
    <row r="13" spans="1:20" ht="93.75" customHeight="1" x14ac:dyDescent="0.25">
      <c r="A13" s="283" t="s">
        <v>272</v>
      </c>
      <c r="B13" s="303" t="s">
        <v>273</v>
      </c>
      <c r="C13" s="298"/>
      <c r="D13" s="299">
        <f>'[2]Consl worksheet'!M181+'[2]Consl worksheet'!M188+'[2]Consl worksheet'!M196+'[2]Consl worksheet'!M204</f>
        <v>1673901.58</v>
      </c>
      <c r="E13" s="300">
        <f>'[2]Consl worksheet'!M212</f>
        <v>288900</v>
      </c>
      <c r="F13" s="288">
        <f t="shared" si="0"/>
        <v>1962801.58</v>
      </c>
      <c r="G13" s="289">
        <f>F13/F24</f>
        <v>8.1154515338493716E-2</v>
      </c>
      <c r="H13" s="301">
        <v>0</v>
      </c>
      <c r="I13" s="299">
        <f>'[2]Consl worksheet'!N181+'[2]Consl worksheet'!N188+'[2]Consl worksheet'!N196+'[2]Consl worksheet'!N204</f>
        <v>1866501.58</v>
      </c>
      <c r="J13" s="300">
        <f>'[2]Consl worksheet'!N212</f>
        <v>348820</v>
      </c>
      <c r="K13" s="291">
        <f t="shared" si="1"/>
        <v>2215321.58</v>
      </c>
      <c r="L13" s="292">
        <f>K13/K24</f>
        <v>8.1015743395010067E-2</v>
      </c>
      <c r="M13" s="593">
        <f t="shared" si="2"/>
        <v>4178123.16</v>
      </c>
      <c r="N13" s="301">
        <v>0</v>
      </c>
      <c r="O13" s="299">
        <f>'[2]Consl worksheet'!P181+'[2]Consl worksheet'!P188+'[2]Consl worksheet'!P196+'[2]Consl worksheet'!P204</f>
        <v>1778177.3599999999</v>
      </c>
      <c r="P13" s="300">
        <f>'[2]Consl worksheet'!P212</f>
        <v>289863</v>
      </c>
      <c r="Q13" s="291">
        <f t="shared" si="3"/>
        <v>2068040.3599999999</v>
      </c>
      <c r="R13" s="292">
        <f>Q13/Q24</f>
        <v>7.2992759374753094E-2</v>
      </c>
      <c r="S13" s="295">
        <f t="shared" si="4"/>
        <v>6246163.5199999996</v>
      </c>
      <c r="T13" s="296">
        <f>S13/S24</f>
        <v>7.821152308992331E-2</v>
      </c>
    </row>
    <row r="14" spans="1:20" ht="56.25" customHeight="1" x14ac:dyDescent="0.25">
      <c r="A14" s="283" t="s">
        <v>274</v>
      </c>
      <c r="B14" s="303" t="s">
        <v>275</v>
      </c>
      <c r="C14" s="302">
        <f>'[2]Consl worksheet'!M248</f>
        <v>513600</v>
      </c>
      <c r="D14" s="299">
        <f>'[2]Consl worksheet'!M233+'[2]Consl worksheet'!M273</f>
        <v>1446622.88</v>
      </c>
      <c r="E14" s="300">
        <f>'[2]Consl worksheet'!M265+'[2]Consl worksheet'!M241+'[2]Consl worksheet'!M256+'[2]Consl worksheet'!M225</f>
        <v>2514500</v>
      </c>
      <c r="F14" s="288">
        <f t="shared" si="0"/>
        <v>4474722.88</v>
      </c>
      <c r="G14" s="289">
        <f>F14/F24</f>
        <v>0.18501308043601061</v>
      </c>
      <c r="H14" s="301">
        <f>'[2]Consl worksheet'!N248</f>
        <v>513600</v>
      </c>
      <c r="I14" s="299">
        <f>'[2]Consl worksheet'!N233+'[2]Consl worksheet'!N273</f>
        <v>1457322.88</v>
      </c>
      <c r="J14" s="300">
        <f>'[2]Consl worksheet'!N225+'[2]Consl worksheet'!N241+'[2]Consl worksheet'!N256+'[2]Consl worksheet'!N265</f>
        <v>2942499.99572</v>
      </c>
      <c r="K14" s="291">
        <f t="shared" si="1"/>
        <v>4913422.8757199999</v>
      </c>
      <c r="L14" s="292">
        <f>K14/K24</f>
        <v>0.17968705333087756</v>
      </c>
      <c r="M14" s="593">
        <f t="shared" si="2"/>
        <v>9388145.7557200007</v>
      </c>
      <c r="N14" s="301">
        <f>'[2]Consl worksheet'!P248</f>
        <v>524300</v>
      </c>
      <c r="O14" s="299">
        <f>'[2]Consl worksheet'!P233+'[2]Consl worksheet'!P273</f>
        <v>1393122.88</v>
      </c>
      <c r="P14" s="300">
        <f>'[2]Consl worksheet'!P225+'[2]Consl worksheet'!P241+'[2]Consl worksheet'!P256+'[2]Consl worksheet'!P265</f>
        <v>2930302</v>
      </c>
      <c r="Q14" s="291">
        <f t="shared" si="3"/>
        <v>4847724.88</v>
      </c>
      <c r="R14" s="292">
        <f>Q14/Q24</f>
        <v>0.17110343807837669</v>
      </c>
      <c r="S14" s="295">
        <f t="shared" si="4"/>
        <v>14235870.63572</v>
      </c>
      <c r="T14" s="296">
        <f>S14/S24</f>
        <v>0.17825487939367557</v>
      </c>
    </row>
    <row r="15" spans="1:20" ht="48.75" customHeight="1" x14ac:dyDescent="0.25">
      <c r="A15" s="283" t="s">
        <v>276</v>
      </c>
      <c r="B15" s="303" t="s">
        <v>277</v>
      </c>
      <c r="C15" s="298">
        <v>0</v>
      </c>
      <c r="D15" s="299">
        <f>'[2]Consl worksheet'!M305</f>
        <v>107000</v>
      </c>
      <c r="E15" s="300">
        <f>'[2]Consl worksheet'!M313+'[2]Consl worksheet'!M297+'[2]Consl worksheet'!M289</f>
        <v>2585469.355</v>
      </c>
      <c r="F15" s="288">
        <f t="shared" si="0"/>
        <v>2692469.355</v>
      </c>
      <c r="G15" s="289">
        <f>F15/F24</f>
        <v>0.11132355292314966</v>
      </c>
      <c r="H15" s="304">
        <v>0</v>
      </c>
      <c r="I15" s="299">
        <f>'[2]Consl worksheet'!N305</f>
        <v>500520.32</v>
      </c>
      <c r="J15" s="300">
        <f>'[2]Consl worksheet'!N314-'[2]Consl worksheet'!N305</f>
        <v>2948199.89</v>
      </c>
      <c r="K15" s="291">
        <f t="shared" si="1"/>
        <v>3448720.21</v>
      </c>
      <c r="L15" s="292">
        <f>K15/K24</f>
        <v>0.12612192924809823</v>
      </c>
      <c r="M15" s="593">
        <f t="shared" si="2"/>
        <v>6141189.5649999995</v>
      </c>
      <c r="N15" s="301">
        <v>0</v>
      </c>
      <c r="O15" s="299">
        <f>'[2]Consl worksheet'!P305</f>
        <v>500520.32</v>
      </c>
      <c r="P15" s="300">
        <f>'[2]Consl worksheet'!P289+'[2]Consl worksheet'!P297+'[2]Consl worksheet'!P313</f>
        <v>3621308</v>
      </c>
      <c r="Q15" s="291">
        <f t="shared" si="3"/>
        <v>4121828.32</v>
      </c>
      <c r="R15" s="292">
        <f>Q15/Q24</f>
        <v>0.14548247150544141</v>
      </c>
      <c r="S15" s="295">
        <f t="shared" si="4"/>
        <v>10263017.885</v>
      </c>
      <c r="T15" s="305">
        <f>S15/S24</f>
        <v>0.12850868500557178</v>
      </c>
    </row>
    <row r="16" spans="1:20" ht="18" customHeight="1" x14ac:dyDescent="0.25">
      <c r="A16" s="1012" t="s">
        <v>47</v>
      </c>
      <c r="B16" s="1013"/>
      <c r="C16" s="306">
        <f>SUM(C10:C15)</f>
        <v>8244220.9579999996</v>
      </c>
      <c r="D16" s="307">
        <f>SUM(D10:D15)</f>
        <v>7925894.46</v>
      </c>
      <c r="E16" s="307">
        <f>SUM(E10:E15)</f>
        <v>5533319.3550000004</v>
      </c>
      <c r="F16" s="307">
        <f>SUM(F10:F15)</f>
        <v>21703434.773000002</v>
      </c>
      <c r="G16" s="308"/>
      <c r="H16" s="309">
        <f>SUM(H10:H15)</f>
        <v>8501020.9580000006</v>
      </c>
      <c r="I16" s="307">
        <f>SUM(I10:I15)</f>
        <v>8161814.4800000004</v>
      </c>
      <c r="J16" s="307">
        <f>SUM(J10:J15)</f>
        <v>6378619.8857199997</v>
      </c>
      <c r="K16" s="307">
        <f>SUM(K10:K15)</f>
        <v>23041455.323720001</v>
      </c>
      <c r="L16" s="308"/>
      <c r="M16" s="594">
        <f>SUM(M10:M15)</f>
        <v>44744890.096719995</v>
      </c>
      <c r="N16" s="309">
        <f>SUM(N10:N15)</f>
        <v>9153850.748999998</v>
      </c>
      <c r="O16" s="307">
        <f>SUM(O10:O15)</f>
        <v>7884287.5100000007</v>
      </c>
      <c r="P16" s="307">
        <f>SUM(P10:P15)</f>
        <v>6967305</v>
      </c>
      <c r="Q16" s="307">
        <f>SUM(Q10:Q15)</f>
        <v>24005443.259</v>
      </c>
      <c r="R16" s="310"/>
      <c r="S16" s="595">
        <f>SUM(S10:S15)</f>
        <v>68750333.355720013</v>
      </c>
      <c r="T16" s="311"/>
    </row>
    <row r="17" spans="1:21" ht="18" customHeight="1" x14ac:dyDescent="0.25">
      <c r="A17" s="312"/>
      <c r="B17" s="596"/>
      <c r="C17" s="298"/>
      <c r="D17" s="299"/>
      <c r="E17" s="300"/>
      <c r="F17" s="288"/>
      <c r="G17" s="289"/>
      <c r="H17" s="304"/>
      <c r="I17" s="299"/>
      <c r="J17" s="300"/>
      <c r="K17" s="291"/>
      <c r="L17" s="292"/>
      <c r="M17" s="597"/>
      <c r="N17" s="304"/>
      <c r="O17" s="299"/>
      <c r="P17" s="300"/>
      <c r="Q17" s="291"/>
      <c r="R17" s="292"/>
      <c r="S17" s="295"/>
      <c r="T17" s="313"/>
    </row>
    <row r="18" spans="1:21" ht="33.75" customHeight="1" x14ac:dyDescent="0.25">
      <c r="A18" s="915" t="s">
        <v>327</v>
      </c>
      <c r="B18" s="916"/>
      <c r="C18" s="314"/>
      <c r="D18" s="315"/>
      <c r="E18" s="316"/>
      <c r="F18" s="317"/>
      <c r="G18" s="318"/>
      <c r="H18" s="319"/>
      <c r="I18" s="315"/>
      <c r="J18" s="316"/>
      <c r="K18" s="320"/>
      <c r="L18" s="321"/>
      <c r="M18" s="598"/>
      <c r="N18" s="319"/>
      <c r="O18" s="315"/>
      <c r="P18" s="316"/>
      <c r="Q18" s="320"/>
      <c r="R18" s="321"/>
      <c r="S18" s="322"/>
      <c r="T18" s="323"/>
    </row>
    <row r="19" spans="1:21" ht="63" customHeight="1" x14ac:dyDescent="0.25">
      <c r="A19" s="283" t="s">
        <v>328</v>
      </c>
      <c r="B19" s="324" t="s">
        <v>278</v>
      </c>
      <c r="C19" s="298">
        <f>'[2]Consl worksheet'!M327+'[2]Consl worksheet'!M351+'[2]Consl worksheet'!M383</f>
        <v>473475</v>
      </c>
      <c r="D19" s="299">
        <f>'[2]Consl worksheet'!M335+'[2]Consl worksheet'!M359</f>
        <v>181900</v>
      </c>
      <c r="E19" s="299">
        <f>'[2]Consl worksheet'!M343+'[2]Consl worksheet'!M367+'[2]Consl worksheet'!M375</f>
        <v>307580.78990049998</v>
      </c>
      <c r="F19" s="325">
        <f>SUM(C19:E19)</f>
        <v>962955.78990049998</v>
      </c>
      <c r="G19" s="289">
        <f>F19/F24</f>
        <v>3.9814625797158498E-2</v>
      </c>
      <c r="H19" s="304">
        <f>'[2]Consl worksheet'!N327+'[2]Consl worksheet'!N351+'[2]Consl worksheet'!N383</f>
        <v>473475</v>
      </c>
      <c r="I19" s="299">
        <f>'[2]Consl worksheet'!N335+'[2]Consl worksheet'!N359</f>
        <v>181900</v>
      </c>
      <c r="J19" s="299">
        <f>'[2]Consl worksheet'!N343+'[2]Consl worksheet'!N367+'[2]Consl worksheet'!N375</f>
        <v>554434.65879105008</v>
      </c>
      <c r="K19" s="299">
        <f>SUM(H19:J19)</f>
        <v>1209809.6587910501</v>
      </c>
      <c r="L19" s="292">
        <f>K19/K24</f>
        <v>4.4243521914962967E-2</v>
      </c>
      <c r="M19" s="599">
        <f>F19+K19</f>
        <v>2172765.4486915502</v>
      </c>
      <c r="N19" s="304">
        <f>'[2]Consl worksheet'!P327+'[2]Consl worksheet'!P351+'[2]Consl worksheet'!P383</f>
        <v>494875</v>
      </c>
      <c r="O19" s="299">
        <f>'[2]Consl worksheet'!P335+'[2]Consl worksheet'!P359</f>
        <v>181900</v>
      </c>
      <c r="P19" s="299">
        <f>'[2]Consl worksheet'!P343+'[2]Consl worksheet'!P367+'[2]Consl worksheet'!P375</f>
        <v>556841.91</v>
      </c>
      <c r="Q19" s="299">
        <f>SUM(N19:P19)</f>
        <v>1233616.9100000001</v>
      </c>
      <c r="R19" s="292">
        <f>Q19/Q24</f>
        <v>4.3541269316550703E-2</v>
      </c>
      <c r="S19" s="304">
        <f>F19+K19+Q19</f>
        <v>3406382.3586915503</v>
      </c>
      <c r="T19" s="296">
        <f>S19/S24</f>
        <v>4.2653118453727518E-2</v>
      </c>
    </row>
    <row r="20" spans="1:21" ht="47.25" hidden="1" customHeight="1" thickBot="1" x14ac:dyDescent="0.3">
      <c r="A20" s="600" t="s">
        <v>329</v>
      </c>
      <c r="B20" s="586"/>
      <c r="C20" s="601"/>
      <c r="D20" s="602"/>
      <c r="E20" s="602"/>
      <c r="F20" s="602">
        <f>SUM(F10:F19)</f>
        <v>44369825.3359005</v>
      </c>
      <c r="G20" s="603"/>
      <c r="H20" s="604"/>
      <c r="I20" s="602"/>
      <c r="J20" s="602"/>
      <c r="K20" s="602">
        <f>SUM(K10:K19)</f>
        <v>47292720.306231052</v>
      </c>
      <c r="L20" s="603"/>
      <c r="M20" s="599">
        <f>F20+K20</f>
        <v>91662545.642131552</v>
      </c>
      <c r="N20" s="604"/>
      <c r="O20" s="602"/>
      <c r="P20" s="602"/>
      <c r="Q20" s="602">
        <f>SUM(Q10:Q19)</f>
        <v>49244503.428000003</v>
      </c>
      <c r="R20" s="603"/>
      <c r="S20" s="604">
        <f>F20+K20+Q20</f>
        <v>140907049.07013154</v>
      </c>
      <c r="T20" s="296"/>
    </row>
    <row r="21" spans="1:21" ht="64.5" customHeight="1" x14ac:dyDescent="0.25">
      <c r="A21" s="326" t="s">
        <v>279</v>
      </c>
      <c r="B21" s="327" t="s">
        <v>280</v>
      </c>
      <c r="C21" s="328">
        <f>'[3]2012 estimate'!$G$21</f>
        <v>319171.09340499999</v>
      </c>
      <c r="D21" s="329">
        <f>'[3]2012 estimate'!$H$21</f>
        <v>366238.13410000002</v>
      </c>
      <c r="E21" s="329">
        <f>'[3]2012 estimate'!$I$21-[3]Workings!$J$78</f>
        <v>834181.38159949996</v>
      </c>
      <c r="F21" s="325">
        <f>SUM(C21:E21)</f>
        <v>1519590.6091045002</v>
      </c>
      <c r="G21" s="289">
        <f>F21/F24</f>
        <v>6.2829396843466043E-2</v>
      </c>
      <c r="H21" s="330">
        <f>'[3]2012 estimate'!$K$21</f>
        <v>673201.79615049995</v>
      </c>
      <c r="I21" s="329">
        <f>'[3]2012 estimate'!$L$21</f>
        <v>766532.08160999999</v>
      </c>
      <c r="J21" s="329">
        <f>'[3]2012 estimate'!$M$21-'[3]Workings (2)'!$J$79</f>
        <v>1653335.5513589501</v>
      </c>
      <c r="K21" s="299">
        <f>SUM(H21:J21)</f>
        <v>3093069.42911945</v>
      </c>
      <c r="L21" s="292">
        <f>K21/K24</f>
        <v>0.11311555010107906</v>
      </c>
      <c r="M21" s="599">
        <f>F21+K21</f>
        <v>4612660.0382239502</v>
      </c>
      <c r="N21" s="330">
        <v>673202</v>
      </c>
      <c r="O21" s="329">
        <v>766532</v>
      </c>
      <c r="P21" s="329">
        <v>1653336</v>
      </c>
      <c r="Q21" s="299">
        <f>SUM(N21:P21)</f>
        <v>3093070</v>
      </c>
      <c r="R21" s="292">
        <f>Q21/Q24</f>
        <v>0.10917181241050228</v>
      </c>
      <c r="S21" s="304">
        <f>F21+K21+Q21</f>
        <v>7705730.0382239502</v>
      </c>
      <c r="T21" s="296">
        <f>S21/S24</f>
        <v>9.6487528845429285E-2</v>
      </c>
      <c r="U21" s="331"/>
    </row>
    <row r="22" spans="1:21" s="337" customFormat="1" ht="22.5" customHeight="1" x14ac:dyDescent="0.25">
      <c r="A22" s="920" t="s">
        <v>103</v>
      </c>
      <c r="B22" s="1014"/>
      <c r="C22" s="332">
        <f>C19+C21</f>
        <v>792646.09340499993</v>
      </c>
      <c r="D22" s="333">
        <f>D19+D21</f>
        <v>548138.13410000002</v>
      </c>
      <c r="E22" s="333">
        <f>E19+E21</f>
        <v>1141762.1714999999</v>
      </c>
      <c r="F22" s="333">
        <f>F19+F21</f>
        <v>2482546.399005</v>
      </c>
      <c r="G22" s="334"/>
      <c r="H22" s="335">
        <f>H19+H21</f>
        <v>1146676.7961505</v>
      </c>
      <c r="I22" s="333">
        <f>I19+I21</f>
        <v>948432.08160999999</v>
      </c>
      <c r="J22" s="333">
        <f>J19+J21</f>
        <v>2207770.2101500002</v>
      </c>
      <c r="K22" s="333">
        <f>K19+K21</f>
        <v>4302879.0879105004</v>
      </c>
      <c r="L22" s="334"/>
      <c r="M22" s="605">
        <f>F22+K22</f>
        <v>6785425.4869155008</v>
      </c>
      <c r="N22" s="335">
        <f>N19+N21</f>
        <v>1168077</v>
      </c>
      <c r="O22" s="333">
        <f>O19+O21</f>
        <v>948432</v>
      </c>
      <c r="P22" s="333">
        <f>P19+P21</f>
        <v>2210177.91</v>
      </c>
      <c r="Q22" s="333">
        <f>Q19+Q21</f>
        <v>4326686.91</v>
      </c>
      <c r="R22" s="606"/>
      <c r="S22" s="335">
        <f>S19+S21</f>
        <v>11112112.396915501</v>
      </c>
      <c r="T22" s="333"/>
      <c r="U22" s="336"/>
    </row>
    <row r="23" spans="1:21" ht="21.75" customHeight="1" x14ac:dyDescent="0.25">
      <c r="A23" s="326"/>
      <c r="B23" s="338"/>
      <c r="C23" s="328"/>
      <c r="D23" s="329"/>
      <c r="E23" s="329"/>
      <c r="F23" s="325"/>
      <c r="G23" s="289"/>
      <c r="H23" s="330"/>
      <c r="I23" s="329"/>
      <c r="J23" s="329"/>
      <c r="K23" s="299"/>
      <c r="L23" s="292"/>
      <c r="M23" s="598"/>
      <c r="N23" s="330"/>
      <c r="O23" s="329"/>
      <c r="P23" s="329"/>
      <c r="Q23" s="299"/>
      <c r="R23" s="292"/>
      <c r="S23" s="304"/>
      <c r="T23" s="296"/>
      <c r="U23" s="331"/>
    </row>
    <row r="24" spans="1:21" ht="33.75" customHeight="1" thickBot="1" x14ac:dyDescent="0.3">
      <c r="A24" s="339" t="s">
        <v>104</v>
      </c>
      <c r="B24" s="340"/>
      <c r="C24" s="607">
        <f>C16+C22</f>
        <v>9036867.0514049996</v>
      </c>
      <c r="D24" s="341">
        <f>D16+D22</f>
        <v>8474032.5941000003</v>
      </c>
      <c r="E24" s="341">
        <f>E16+E22</f>
        <v>6675081.5265000006</v>
      </c>
      <c r="F24" s="341">
        <f>F16+F22</f>
        <v>24185981.172005001</v>
      </c>
      <c r="G24" s="608">
        <f>SUM(G9:G21)</f>
        <v>0.99999999999999989</v>
      </c>
      <c r="H24" s="609">
        <f>H16+H22</f>
        <v>9647697.7541505005</v>
      </c>
      <c r="I24" s="341">
        <f>I16+I22</f>
        <v>9110246.5616100002</v>
      </c>
      <c r="J24" s="341">
        <f>J16+J22</f>
        <v>8586390.0958699994</v>
      </c>
      <c r="K24" s="342">
        <f>K16+K22</f>
        <v>27344334.4116305</v>
      </c>
      <c r="L24" s="343">
        <f>SUM(L9:L21)</f>
        <v>1</v>
      </c>
      <c r="M24" s="610">
        <f>K24+F24</f>
        <v>51530315.583635502</v>
      </c>
      <c r="N24" s="609">
        <f>N16+N22</f>
        <v>10321927.748999998</v>
      </c>
      <c r="O24" s="341">
        <f>O16+O22</f>
        <v>8832719.5100000016</v>
      </c>
      <c r="P24" s="341">
        <f>P16+P22</f>
        <v>9177482.9100000001</v>
      </c>
      <c r="Q24" s="342">
        <f>Q16+Q22</f>
        <v>28332130.169</v>
      </c>
      <c r="R24" s="343">
        <f>SUM(R9:R21)</f>
        <v>1</v>
      </c>
      <c r="S24" s="342">
        <f>S16+S22</f>
        <v>79862445.752635509</v>
      </c>
      <c r="T24" s="344">
        <f>SUM(T9:T21)</f>
        <v>1</v>
      </c>
    </row>
    <row r="25" spans="1:21" ht="15.75" thickTop="1" x14ac:dyDescent="0.25">
      <c r="A25" s="345"/>
      <c r="B25" s="345"/>
      <c r="C25" s="345"/>
      <c r="D25" s="345"/>
      <c r="E25" s="345"/>
      <c r="F25" s="345"/>
      <c r="G25" s="345"/>
      <c r="H25" s="345"/>
      <c r="I25" s="345"/>
      <c r="J25" s="345"/>
      <c r="K25" s="346"/>
      <c r="L25" s="346"/>
      <c r="M25" s="346"/>
      <c r="N25" s="346"/>
      <c r="O25" s="346"/>
      <c r="P25" s="346"/>
      <c r="Q25" s="346"/>
      <c r="R25" s="347"/>
      <c r="S25" s="346"/>
      <c r="T25" s="346"/>
    </row>
    <row r="26" spans="1:21" x14ac:dyDescent="0.25">
      <c r="A26" s="345"/>
      <c r="B26" s="345"/>
      <c r="C26" s="345"/>
      <c r="D26" s="345"/>
      <c r="E26" s="348"/>
      <c r="F26" s="345"/>
      <c r="G26" s="345"/>
      <c r="H26" s="345"/>
      <c r="I26" s="345"/>
      <c r="J26" s="345"/>
      <c r="K26" s="346"/>
      <c r="L26" s="346"/>
      <c r="M26" s="346"/>
      <c r="N26" s="346"/>
      <c r="O26" s="346"/>
      <c r="P26" s="346"/>
      <c r="Q26" s="346"/>
      <c r="R26" s="347"/>
      <c r="S26" s="349"/>
      <c r="T26" s="346"/>
    </row>
    <row r="27" spans="1:21" ht="0.75" customHeight="1" x14ac:dyDescent="0.25">
      <c r="D27" s="611"/>
      <c r="F27" s="611"/>
      <c r="G27" s="611"/>
      <c r="H27" s="611"/>
      <c r="I27" s="611"/>
      <c r="Q27" s="351"/>
    </row>
    <row r="28" spans="1:21" ht="13.5" customHeight="1" x14ac:dyDescent="0.25">
      <c r="C28" s="611">
        <f>C24+H24</f>
        <v>18684564.8055555</v>
      </c>
    </row>
    <row r="29" spans="1:21" ht="0.75" hidden="1" customHeight="1" x14ac:dyDescent="0.25">
      <c r="G29" s="1015" t="s">
        <v>330</v>
      </c>
      <c r="H29" s="1015"/>
      <c r="I29" s="1015"/>
      <c r="J29" s="1015"/>
      <c r="K29" s="1015"/>
      <c r="L29" s="612"/>
      <c r="M29" s="612"/>
    </row>
    <row r="30" spans="1:21" ht="15" hidden="1" customHeight="1" x14ac:dyDescent="0.25">
      <c r="G30" s="1016" t="s">
        <v>331</v>
      </c>
      <c r="H30" s="1016"/>
      <c r="I30" s="1016"/>
      <c r="J30" s="1016"/>
      <c r="K30" s="1016"/>
      <c r="L30" s="571"/>
      <c r="M30" s="571"/>
    </row>
    <row r="31" spans="1:21" hidden="1" x14ac:dyDescent="0.25">
      <c r="G31" s="613" t="s">
        <v>332</v>
      </c>
      <c r="H31" s="613" t="s">
        <v>100</v>
      </c>
      <c r="I31" s="613" t="s">
        <v>50</v>
      </c>
      <c r="J31" s="613" t="s">
        <v>111</v>
      </c>
      <c r="K31" s="613" t="s">
        <v>221</v>
      </c>
      <c r="L31" s="614"/>
      <c r="M31" s="572"/>
      <c r="P31" s="615"/>
    </row>
    <row r="32" spans="1:21" hidden="1" x14ac:dyDescent="0.25">
      <c r="G32" s="616">
        <v>2011</v>
      </c>
      <c r="H32" s="617">
        <f>C16</f>
        <v>8244220.9579999996</v>
      </c>
      <c r="I32" s="617">
        <f>D16</f>
        <v>7925894.46</v>
      </c>
      <c r="J32" s="617">
        <f>E16</f>
        <v>5533319.3550000004</v>
      </c>
      <c r="K32" s="617">
        <f>SUM(H32:J32)</f>
        <v>21703434.773000002</v>
      </c>
      <c r="L32" s="614"/>
      <c r="M32" s="618"/>
      <c r="P32" s="615"/>
    </row>
    <row r="33" spans="1:19" hidden="1" x14ac:dyDescent="0.25">
      <c r="A33" s="261"/>
      <c r="B33" s="261"/>
      <c r="C33" s="261"/>
      <c r="D33" s="261"/>
      <c r="E33" s="261"/>
      <c r="F33" s="261"/>
      <c r="G33" s="616">
        <v>2012</v>
      </c>
      <c r="H33" s="617">
        <f>H16</f>
        <v>8501020.9580000006</v>
      </c>
      <c r="I33" s="617">
        <f>I16</f>
        <v>8161814.4800000004</v>
      </c>
      <c r="J33" s="617">
        <f>J16</f>
        <v>6378619.8857199997</v>
      </c>
      <c r="K33" s="617">
        <f>SUM(H33:J33)</f>
        <v>23041455.323720001</v>
      </c>
      <c r="L33" s="614"/>
      <c r="M33" s="618"/>
    </row>
    <row r="34" spans="1:19" hidden="1" x14ac:dyDescent="0.25">
      <c r="A34" s="261"/>
      <c r="B34" s="261"/>
      <c r="C34" s="261"/>
      <c r="D34" s="261"/>
      <c r="E34" s="261"/>
      <c r="F34" s="261"/>
      <c r="G34" s="616"/>
      <c r="H34" s="617"/>
      <c r="I34" s="617"/>
      <c r="J34" s="617"/>
      <c r="K34" s="617"/>
      <c r="L34" s="614"/>
      <c r="M34" s="618"/>
      <c r="N34" s="351"/>
      <c r="Q34" s="351"/>
    </row>
    <row r="35" spans="1:19" ht="60" hidden="1" x14ac:dyDescent="0.25">
      <c r="A35" s="261"/>
      <c r="B35" s="261"/>
      <c r="C35" s="261"/>
      <c r="D35" s="261"/>
      <c r="E35" s="261"/>
      <c r="F35" s="261"/>
      <c r="G35" s="619" t="s">
        <v>333</v>
      </c>
      <c r="H35" s="620">
        <f>SUM(H32:H34)</f>
        <v>16745241.916000001</v>
      </c>
      <c r="I35" s="620">
        <f>SUM(I32:I34)</f>
        <v>16087708.940000001</v>
      </c>
      <c r="J35" s="620">
        <f>SUM(J32:J34)</f>
        <v>11911939.24072</v>
      </c>
      <c r="K35" s="620">
        <f>SUM(K32:K34)</f>
        <v>44744890.096720003</v>
      </c>
      <c r="L35" s="614"/>
      <c r="M35" s="574"/>
      <c r="Q35" s="351"/>
    </row>
    <row r="36" spans="1:19" ht="45" hidden="1" x14ac:dyDescent="0.25">
      <c r="A36" s="261"/>
      <c r="B36" s="261"/>
      <c r="C36" s="351"/>
      <c r="D36" s="261"/>
      <c r="E36" s="261"/>
      <c r="F36" s="261"/>
      <c r="G36" s="619" t="s">
        <v>263</v>
      </c>
      <c r="H36" s="621">
        <f>H35/K35</f>
        <v>0.37423808349520343</v>
      </c>
      <c r="I36" s="621">
        <f>I35/K35</f>
        <v>0.35954293116431862</v>
      </c>
      <c r="J36" s="621">
        <f>J35/K35</f>
        <v>0.26621898534047794</v>
      </c>
      <c r="K36" s="621">
        <f>SUM(H36:J36)</f>
        <v>1</v>
      </c>
      <c r="L36" s="614"/>
      <c r="M36" s="622"/>
    </row>
    <row r="37" spans="1:19" hidden="1" x14ac:dyDescent="0.25">
      <c r="A37" s="261"/>
      <c r="B37" s="261"/>
      <c r="C37" s="261"/>
      <c r="D37" s="261"/>
      <c r="E37" s="261"/>
      <c r="F37" s="261"/>
      <c r="G37" s="623" t="s">
        <v>334</v>
      </c>
      <c r="H37" s="624">
        <f>[9]Overview!$I$35</f>
        <v>17783400</v>
      </c>
      <c r="I37" s="624">
        <f>[9]Overview!$J$35</f>
        <v>16389686.48</v>
      </c>
      <c r="J37" s="624">
        <f>[9]Overview!$K$35</f>
        <v>12627070</v>
      </c>
      <c r="K37" s="624">
        <f>SUM(H37:J37)</f>
        <v>46800156.480000004</v>
      </c>
      <c r="L37" s="614"/>
      <c r="M37" s="625"/>
    </row>
    <row r="38" spans="1:19" ht="30" hidden="1" x14ac:dyDescent="0.25">
      <c r="A38" s="261"/>
      <c r="B38" s="261"/>
      <c r="C38" s="261"/>
      <c r="D38" s="261"/>
      <c r="E38" s="261"/>
      <c r="F38" s="261"/>
      <c r="G38" s="623" t="s">
        <v>335</v>
      </c>
      <c r="H38" s="626">
        <f>H35-H37</f>
        <v>-1038158.0839999989</v>
      </c>
      <c r="I38" s="626">
        <f>I35-I37</f>
        <v>-301977.53999999911</v>
      </c>
      <c r="J38" s="626">
        <f>J35-J37</f>
        <v>-715130.75927999988</v>
      </c>
      <c r="K38" s="626">
        <f>K35-K37</f>
        <v>-2055266.3832800016</v>
      </c>
      <c r="L38" s="1005"/>
      <c r="M38" s="1006"/>
      <c r="N38" s="1006"/>
      <c r="O38" s="1006"/>
      <c r="P38" s="1006"/>
      <c r="Q38" s="1006"/>
      <c r="R38" s="1006"/>
      <c r="S38" s="1006"/>
    </row>
    <row r="39" spans="1:19" hidden="1" x14ac:dyDescent="0.25">
      <c r="A39" s="261"/>
      <c r="B39" s="261"/>
      <c r="C39" s="261"/>
      <c r="D39" s="261"/>
      <c r="E39" s="261"/>
      <c r="F39" s="261"/>
      <c r="G39" s="627"/>
      <c r="H39" s="628"/>
      <c r="I39" s="629"/>
      <c r="J39" s="629"/>
      <c r="K39" s="629"/>
      <c r="L39" s="1005"/>
      <c r="M39" s="1006"/>
      <c r="N39" s="1006"/>
      <c r="O39" s="1006"/>
      <c r="P39" s="1006"/>
      <c r="Q39" s="1006"/>
      <c r="R39" s="1006"/>
      <c r="S39" s="1006"/>
    </row>
    <row r="40" spans="1:19" ht="15" hidden="1" customHeight="1" x14ac:dyDescent="0.25">
      <c r="A40" s="261"/>
      <c r="B40" s="261"/>
      <c r="C40" s="261"/>
      <c r="D40" s="261"/>
      <c r="E40" s="261"/>
      <c r="F40" s="261"/>
      <c r="G40" s="1007" t="s">
        <v>336</v>
      </c>
      <c r="H40" s="1007"/>
      <c r="I40" s="1007"/>
      <c r="J40" s="1007"/>
      <c r="K40" s="1007"/>
      <c r="L40" s="630"/>
      <c r="M40" s="571"/>
    </row>
    <row r="41" spans="1:19" hidden="1" x14ac:dyDescent="0.25">
      <c r="A41" s="261"/>
      <c r="B41" s="261"/>
      <c r="C41" s="261"/>
      <c r="D41" s="261"/>
      <c r="E41" s="261"/>
      <c r="F41" s="261"/>
      <c r="G41" s="631" t="s">
        <v>337</v>
      </c>
      <c r="H41" s="632">
        <f>C19+H19</f>
        <v>946950</v>
      </c>
      <c r="I41" s="632">
        <f>D19+I19</f>
        <v>363800</v>
      </c>
      <c r="J41" s="632">
        <f>E19+J19</f>
        <v>862015.44869155006</v>
      </c>
      <c r="K41" s="632">
        <f>SUM(H41:J41)</f>
        <v>2172765.4486915502</v>
      </c>
      <c r="L41" s="258"/>
      <c r="M41" s="633"/>
    </row>
    <row r="42" spans="1:19" ht="15" hidden="1" customHeight="1" x14ac:dyDescent="0.25">
      <c r="A42" s="261"/>
      <c r="B42" s="261"/>
      <c r="C42" s="261"/>
      <c r="D42" s="261"/>
      <c r="E42" s="261"/>
      <c r="F42" s="261"/>
      <c r="G42" s="631" t="s">
        <v>1</v>
      </c>
      <c r="H42" s="632">
        <f>C21+H21</f>
        <v>992372.88955549989</v>
      </c>
      <c r="I42" s="632">
        <f>D21+I21</f>
        <v>1132770.2157100001</v>
      </c>
      <c r="J42" s="632">
        <f>E21+J21</f>
        <v>2487516.9329584502</v>
      </c>
      <c r="K42" s="632">
        <f>SUM(H42:J42)</f>
        <v>4612660.0382239502</v>
      </c>
      <c r="L42" s="1008" t="s">
        <v>338</v>
      </c>
      <c r="M42" s="1009"/>
      <c r="N42" s="1009"/>
      <c r="O42" s="1009"/>
      <c r="P42" s="1009"/>
      <c r="Q42" s="1009"/>
      <c r="R42" s="1009"/>
      <c r="S42" s="1009"/>
    </row>
    <row r="43" spans="1:19" hidden="1" x14ac:dyDescent="0.25">
      <c r="A43" s="261"/>
      <c r="B43" s="261"/>
      <c r="C43" s="261"/>
      <c r="D43" s="261"/>
      <c r="E43" s="261"/>
      <c r="F43" s="261"/>
      <c r="G43" s="634" t="s">
        <v>4</v>
      </c>
      <c r="H43" s="635">
        <f>SUM(H41:H42)</f>
        <v>1939322.8895554999</v>
      </c>
      <c r="I43" s="635">
        <f>SUM(I41:I42)</f>
        <v>1496570.2157100001</v>
      </c>
      <c r="J43" s="635">
        <f>SUM(J41:J42)</f>
        <v>3349532.3816500003</v>
      </c>
      <c r="K43" s="632">
        <f>SUM(H43:J43)</f>
        <v>6785425.4869155008</v>
      </c>
      <c r="L43" s="1008"/>
      <c r="M43" s="1009"/>
      <c r="N43" s="1009"/>
      <c r="O43" s="1009"/>
      <c r="P43" s="1009"/>
      <c r="Q43" s="1009"/>
      <c r="R43" s="1009"/>
      <c r="S43" s="1009"/>
    </row>
    <row r="44" spans="1:19" hidden="1" x14ac:dyDescent="0.25">
      <c r="A44" s="261"/>
      <c r="B44" s="261"/>
      <c r="C44" s="261"/>
      <c r="D44" s="261"/>
      <c r="E44" s="261"/>
      <c r="F44" s="261"/>
      <c r="G44" s="634" t="s">
        <v>334</v>
      </c>
      <c r="H44" s="635">
        <f>[10]Overview!$C$15+[10]Overview!$H$15</f>
        <v>2114638</v>
      </c>
      <c r="I44" s="635">
        <f>[10]Overview!$D$15+[10]Overview!$I$15</f>
        <v>1743011</v>
      </c>
      <c r="J44" s="635">
        <f>[10]Overview!$E$15+[10]Overview!$J$15</f>
        <v>3581564.5</v>
      </c>
      <c r="K44" s="635">
        <f>SUM(H44:J44)</f>
        <v>7439213.5</v>
      </c>
      <c r="M44" s="574"/>
    </row>
    <row r="45" spans="1:19" ht="30" hidden="1" x14ac:dyDescent="0.25">
      <c r="A45" s="261"/>
      <c r="B45" s="261"/>
      <c r="C45" s="261"/>
      <c r="D45" s="261"/>
      <c r="E45" s="261"/>
      <c r="F45" s="261"/>
      <c r="G45" s="634" t="s">
        <v>339</v>
      </c>
      <c r="H45" s="635">
        <f>H43-H44</f>
        <v>-175315.11044450011</v>
      </c>
      <c r="I45" s="635">
        <f>I43-I44</f>
        <v>-246440.78428999986</v>
      </c>
      <c r="J45" s="635">
        <f>J43-J44</f>
        <v>-232032.11834999966</v>
      </c>
      <c r="K45" s="635">
        <f>SUM(H45:J45)</f>
        <v>-653788.01308449963</v>
      </c>
      <c r="M45" s="574"/>
    </row>
    <row r="46" spans="1:19" ht="30" hidden="1" x14ac:dyDescent="0.25">
      <c r="A46" s="261"/>
      <c r="B46" s="261"/>
      <c r="C46" s="261"/>
      <c r="D46" s="261"/>
      <c r="E46" s="261"/>
      <c r="F46" s="261"/>
      <c r="G46" s="636"/>
      <c r="H46" s="637"/>
      <c r="I46" s="637"/>
      <c r="J46" s="637"/>
      <c r="K46" s="637"/>
      <c r="L46" s="638" t="s">
        <v>340</v>
      </c>
      <c r="M46" s="639" t="s">
        <v>341</v>
      </c>
    </row>
    <row r="47" spans="1:19" ht="30" hidden="1" x14ac:dyDescent="0.25">
      <c r="A47" s="261"/>
      <c r="B47" s="261"/>
      <c r="C47" s="261"/>
      <c r="D47" s="261"/>
      <c r="E47" s="261"/>
      <c r="F47" s="261"/>
      <c r="G47" s="640" t="s">
        <v>104</v>
      </c>
      <c r="H47" s="641">
        <f>H35+H43</f>
        <v>18684564.8055555</v>
      </c>
      <c r="I47" s="641">
        <f>I35+I43</f>
        <v>17584279.155710001</v>
      </c>
      <c r="J47" s="641">
        <f>J35+J43</f>
        <v>15261471.622370001</v>
      </c>
      <c r="K47" s="641">
        <f>SUM(H47:J47)</f>
        <v>51530315.583635509</v>
      </c>
      <c r="L47" s="642">
        <f>[10]Overview!$F$17+[10]Overview!$K$17</f>
        <v>54239369.979999997</v>
      </c>
      <c r="M47" s="643">
        <f>K47-L47</f>
        <v>-2709054.3963644877</v>
      </c>
    </row>
    <row r="48" spans="1:19" ht="45" hidden="1" x14ac:dyDescent="0.25">
      <c r="A48" s="261"/>
      <c r="B48" s="261"/>
      <c r="C48" s="261"/>
      <c r="D48" s="261"/>
      <c r="E48" s="261"/>
      <c r="F48" s="261"/>
      <c r="G48" s="644" t="s">
        <v>263</v>
      </c>
      <c r="H48" s="645">
        <f>H47/K47</f>
        <v>0.36259364209073774</v>
      </c>
      <c r="I48" s="645">
        <f>I47/K47</f>
        <v>0.34124144120891514</v>
      </c>
      <c r="J48" s="645">
        <f>J47/K47</f>
        <v>0.29616491670034695</v>
      </c>
      <c r="K48" s="645">
        <f>SUM(H48:J48)</f>
        <v>0.99999999999999989</v>
      </c>
      <c r="M48" s="646"/>
    </row>
  </sheetData>
  <mergeCells count="15">
    <mergeCell ref="A4:T4"/>
    <mergeCell ref="A5:T5"/>
    <mergeCell ref="A6:B6"/>
    <mergeCell ref="C6:G6"/>
    <mergeCell ref="H6:L6"/>
    <mergeCell ref="N6:R6"/>
    <mergeCell ref="L38:S39"/>
    <mergeCell ref="G40:K40"/>
    <mergeCell ref="L42:S43"/>
    <mergeCell ref="A9:B9"/>
    <mergeCell ref="A16:B16"/>
    <mergeCell ref="A18:B18"/>
    <mergeCell ref="A22:B22"/>
    <mergeCell ref="G29:K29"/>
    <mergeCell ref="G30:K30"/>
  </mergeCells>
  <pageMargins left="0.43307086614173201" right="0.43307086614173201" top="0.74803149606299202" bottom="0.74803149606299202" header="0.31496062992126" footer="0.31496062992126"/>
  <pageSetup paperSize="9" scale="50" fitToHeight="2" orientation="landscape"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2:G58"/>
  <sheetViews>
    <sheetView topLeftCell="A27" workbookViewId="0">
      <selection activeCell="L7" sqref="L7"/>
    </sheetView>
  </sheetViews>
  <sheetFormatPr defaultRowHeight="12.75" x14ac:dyDescent="0.2"/>
  <cols>
    <col min="1" max="1" width="29.7109375" style="353" customWidth="1"/>
    <col min="2" max="2" width="38.140625" style="353" customWidth="1"/>
    <col min="3" max="3" width="10.42578125" style="353" customWidth="1"/>
    <col min="4" max="4" width="3.5703125" style="353" customWidth="1"/>
    <col min="5" max="5" width="3.140625" style="353" customWidth="1"/>
    <col min="6" max="6" width="18.7109375" style="353" customWidth="1"/>
    <col min="7" max="7" width="13" style="353" customWidth="1"/>
    <col min="8" max="16384" width="9.140625" style="353"/>
  </cols>
  <sheetData>
    <row r="2" spans="1:7" ht="13.5" thickBot="1" x14ac:dyDescent="0.25">
      <c r="A2" s="1029" t="s">
        <v>281</v>
      </c>
      <c r="B2" s="1029"/>
      <c r="C2" s="1029"/>
      <c r="D2" s="1029"/>
      <c r="E2" s="1029"/>
      <c r="F2" s="1029"/>
      <c r="G2" s="1029"/>
    </row>
    <row r="4" spans="1:7" ht="35.25" customHeight="1" x14ac:dyDescent="0.2">
      <c r="A4" s="1030" t="s">
        <v>36</v>
      </c>
      <c r="B4" s="1031"/>
      <c r="C4" s="1032" t="s">
        <v>24</v>
      </c>
      <c r="D4" s="1034"/>
      <c r="E4" s="1034"/>
      <c r="F4" s="1034" t="s">
        <v>220</v>
      </c>
      <c r="G4" s="1034"/>
    </row>
    <row r="5" spans="1:7" ht="25.5" x14ac:dyDescent="0.2">
      <c r="A5" s="354" t="s">
        <v>21</v>
      </c>
      <c r="B5" s="354" t="s">
        <v>20</v>
      </c>
      <c r="C5" s="1033"/>
      <c r="D5" s="355" t="s">
        <v>17</v>
      </c>
      <c r="E5" s="355" t="s">
        <v>16</v>
      </c>
      <c r="F5" s="356" t="s">
        <v>15</v>
      </c>
      <c r="G5" s="357" t="s">
        <v>282</v>
      </c>
    </row>
    <row r="6" spans="1:7" ht="38.25" x14ac:dyDescent="0.2">
      <c r="A6" s="1026" t="s">
        <v>167</v>
      </c>
      <c r="B6" s="358" t="s">
        <v>168</v>
      </c>
      <c r="C6" s="359"/>
      <c r="D6" s="360"/>
      <c r="E6" s="360"/>
      <c r="F6" s="361" t="s">
        <v>32</v>
      </c>
      <c r="G6" s="362">
        <f>64555.39+8850</f>
        <v>73405.39</v>
      </c>
    </row>
    <row r="7" spans="1:7" ht="25.5" x14ac:dyDescent="0.2">
      <c r="A7" s="1027"/>
      <c r="B7" s="358" t="s">
        <v>170</v>
      </c>
      <c r="C7" s="359"/>
      <c r="D7" s="360"/>
      <c r="E7" s="360"/>
      <c r="F7" s="363" t="s">
        <v>30</v>
      </c>
      <c r="G7" s="362">
        <v>31400</v>
      </c>
    </row>
    <row r="8" spans="1:7" ht="38.25" x14ac:dyDescent="0.2">
      <c r="A8" s="1027"/>
      <c r="B8" s="358" t="s">
        <v>171</v>
      </c>
      <c r="C8" s="359"/>
      <c r="D8" s="360"/>
      <c r="E8" s="360"/>
      <c r="F8" s="363" t="s">
        <v>28</v>
      </c>
      <c r="G8" s="362"/>
    </row>
    <row r="9" spans="1:7" x14ac:dyDescent="0.2">
      <c r="A9" s="1027"/>
      <c r="B9" s="358"/>
      <c r="C9" s="359"/>
      <c r="D9" s="360"/>
      <c r="E9" s="360"/>
      <c r="F9" s="364" t="s">
        <v>27</v>
      </c>
      <c r="G9" s="362"/>
    </row>
    <row r="10" spans="1:7" ht="25.5" x14ac:dyDescent="0.2">
      <c r="A10" s="1028"/>
      <c r="B10" s="358"/>
      <c r="C10" s="359"/>
      <c r="D10" s="360"/>
      <c r="E10" s="360"/>
      <c r="F10" s="365" t="s">
        <v>25</v>
      </c>
      <c r="G10" s="366"/>
    </row>
    <row r="11" spans="1:7" x14ac:dyDescent="0.2">
      <c r="A11" s="367" t="s">
        <v>4</v>
      </c>
      <c r="B11" s="368"/>
      <c r="C11" s="369"/>
      <c r="D11" s="370"/>
      <c r="E11" s="370"/>
      <c r="F11" s="371"/>
      <c r="G11" s="372">
        <f>SUM(G6:G10)</f>
        <v>104805.39</v>
      </c>
    </row>
    <row r="12" spans="1:7" ht="65.25" customHeight="1" x14ac:dyDescent="0.2">
      <c r="A12" s="1038" t="s">
        <v>35</v>
      </c>
      <c r="B12" s="358" t="s">
        <v>34</v>
      </c>
      <c r="C12" s="1039" t="s">
        <v>33</v>
      </c>
      <c r="D12" s="373"/>
      <c r="E12" s="373"/>
      <c r="F12" s="361" t="s">
        <v>32</v>
      </c>
      <c r="G12" s="361">
        <f>129110+17700+51917</f>
        <v>198727</v>
      </c>
    </row>
    <row r="13" spans="1:7" ht="60.75" customHeight="1" x14ac:dyDescent="0.2">
      <c r="A13" s="1038"/>
      <c r="B13" s="358" t="s">
        <v>31</v>
      </c>
      <c r="C13" s="1040"/>
      <c r="D13" s="373"/>
      <c r="E13" s="373"/>
      <c r="F13" s="363" t="s">
        <v>30</v>
      </c>
      <c r="G13" s="363">
        <f>15700+31400</f>
        <v>47100</v>
      </c>
    </row>
    <row r="14" spans="1:7" ht="25.5" x14ac:dyDescent="0.2">
      <c r="A14" s="1038"/>
      <c r="B14" s="1042" t="s">
        <v>29</v>
      </c>
      <c r="C14" s="1040"/>
      <c r="D14" s="373"/>
      <c r="E14" s="373"/>
      <c r="F14" s="363" t="s">
        <v>28</v>
      </c>
      <c r="G14" s="363"/>
    </row>
    <row r="15" spans="1:7" ht="27" customHeight="1" x14ac:dyDescent="0.2">
      <c r="A15" s="1038"/>
      <c r="B15" s="1043"/>
      <c r="C15" s="1040"/>
      <c r="D15" s="373"/>
      <c r="E15" s="373"/>
      <c r="F15" s="364" t="s">
        <v>27</v>
      </c>
      <c r="G15" s="364"/>
    </row>
    <row r="16" spans="1:7" ht="36.75" customHeight="1" x14ac:dyDescent="0.2">
      <c r="A16" s="1038"/>
      <c r="B16" s="358" t="s">
        <v>26</v>
      </c>
      <c r="C16" s="1041"/>
      <c r="D16" s="373"/>
      <c r="E16" s="373"/>
      <c r="F16" s="365" t="s">
        <v>25</v>
      </c>
      <c r="G16" s="365">
        <v>7667</v>
      </c>
    </row>
    <row r="17" spans="1:7" ht="16.5" customHeight="1" x14ac:dyDescent="0.2">
      <c r="A17" s="374" t="s">
        <v>4</v>
      </c>
      <c r="B17" s="375"/>
      <c r="C17" s="375"/>
      <c r="D17" s="375"/>
      <c r="E17" s="375"/>
      <c r="F17" s="376"/>
      <c r="G17" s="377">
        <f>SUM(G12:G16)</f>
        <v>253494</v>
      </c>
    </row>
    <row r="18" spans="1:7" ht="39" customHeight="1" x14ac:dyDescent="0.2">
      <c r="A18" s="1038" t="s">
        <v>175</v>
      </c>
      <c r="B18" s="378" t="s">
        <v>176</v>
      </c>
      <c r="C18" s="1039" t="s">
        <v>33</v>
      </c>
      <c r="D18" s="373"/>
      <c r="E18" s="379"/>
      <c r="F18" s="361" t="s">
        <v>32</v>
      </c>
      <c r="G18" s="361">
        <f>96833.09+13275+121135</f>
        <v>231243.09</v>
      </c>
    </row>
    <row r="19" spans="1:7" ht="31.5" customHeight="1" x14ac:dyDescent="0.2">
      <c r="A19" s="1038"/>
      <c r="B19" s="380" t="s">
        <v>177</v>
      </c>
      <c r="C19" s="1040"/>
      <c r="D19" s="373"/>
      <c r="E19" s="373"/>
      <c r="F19" s="363" t="s">
        <v>30</v>
      </c>
      <c r="G19" s="363"/>
    </row>
    <row r="20" spans="1:7" ht="47.25" customHeight="1" x14ac:dyDescent="0.2">
      <c r="A20" s="1038"/>
      <c r="B20" s="358" t="s">
        <v>178</v>
      </c>
      <c r="C20" s="1040"/>
      <c r="D20" s="373"/>
      <c r="E20" s="373"/>
      <c r="F20" s="363" t="s">
        <v>28</v>
      </c>
      <c r="G20" s="363"/>
    </row>
    <row r="21" spans="1:7" ht="59.25" customHeight="1" x14ac:dyDescent="0.2">
      <c r="A21" s="1038"/>
      <c r="B21" s="358" t="s">
        <v>179</v>
      </c>
      <c r="C21" s="1040"/>
      <c r="D21" s="373"/>
      <c r="E21" s="373"/>
      <c r="F21" s="364" t="s">
        <v>27</v>
      </c>
      <c r="G21" s="364"/>
    </row>
    <row r="22" spans="1:7" ht="42.75" customHeight="1" x14ac:dyDescent="0.2">
      <c r="A22" s="1038"/>
      <c r="B22" s="358" t="s">
        <v>180</v>
      </c>
      <c r="C22" s="1041"/>
      <c r="D22" s="379"/>
      <c r="E22" s="379"/>
      <c r="F22" s="365" t="s">
        <v>25</v>
      </c>
      <c r="G22" s="365"/>
    </row>
    <row r="23" spans="1:7" x14ac:dyDescent="0.2">
      <c r="A23" s="374" t="s">
        <v>4</v>
      </c>
      <c r="B23" s="375"/>
      <c r="C23" s="375"/>
      <c r="D23" s="375"/>
      <c r="E23" s="375"/>
      <c r="F23" s="376"/>
      <c r="G23" s="377">
        <f>SUM(G18:G22)</f>
        <v>231243.09</v>
      </c>
    </row>
    <row r="24" spans="1:7" ht="38.25" x14ac:dyDescent="0.2">
      <c r="A24" s="1038" t="s">
        <v>181</v>
      </c>
      <c r="B24" s="381" t="s">
        <v>182</v>
      </c>
      <c r="C24" s="1039" t="s">
        <v>33</v>
      </c>
      <c r="D24" s="373"/>
      <c r="E24" s="373"/>
      <c r="F24" s="361" t="s">
        <v>32</v>
      </c>
      <c r="G24" s="361">
        <f>96833.09+13275+121135</f>
        <v>231243.09</v>
      </c>
    </row>
    <row r="25" spans="1:7" x14ac:dyDescent="0.2">
      <c r="A25" s="1038"/>
      <c r="B25" s="378" t="s">
        <v>183</v>
      </c>
      <c r="C25" s="1040"/>
      <c r="D25" s="373"/>
      <c r="E25" s="373"/>
      <c r="F25" s="363" t="s">
        <v>30</v>
      </c>
      <c r="G25" s="363"/>
    </row>
    <row r="26" spans="1:7" ht="25.5" x14ac:dyDescent="0.2">
      <c r="A26" s="1038"/>
      <c r="B26" s="378" t="s">
        <v>184</v>
      </c>
      <c r="C26" s="1040"/>
      <c r="D26" s="373"/>
      <c r="E26" s="379"/>
      <c r="F26" s="363" t="s">
        <v>28</v>
      </c>
      <c r="G26" s="363"/>
    </row>
    <row r="27" spans="1:7" ht="25.5" x14ac:dyDescent="0.2">
      <c r="A27" s="1038"/>
      <c r="B27" s="380" t="s">
        <v>185</v>
      </c>
      <c r="C27" s="1040"/>
      <c r="D27" s="373"/>
      <c r="E27" s="373"/>
      <c r="F27" s="364" t="s">
        <v>27</v>
      </c>
      <c r="G27" s="364"/>
    </row>
    <row r="28" spans="1:7" ht="25.5" x14ac:dyDescent="0.2">
      <c r="A28" s="1038"/>
      <c r="B28" s="382" t="s">
        <v>186</v>
      </c>
      <c r="C28" s="1041"/>
      <c r="D28" s="379"/>
      <c r="E28" s="379"/>
      <c r="F28" s="365" t="s">
        <v>25</v>
      </c>
      <c r="G28" s="365"/>
    </row>
    <row r="29" spans="1:7" ht="15.75" x14ac:dyDescent="0.25">
      <c r="A29" s="374" t="s">
        <v>4</v>
      </c>
      <c r="B29" s="14"/>
      <c r="C29" s="14"/>
      <c r="D29" s="14"/>
      <c r="E29" s="14"/>
      <c r="F29" s="13"/>
      <c r="G29" s="377">
        <f>SUM(G24:G28)</f>
        <v>231243.09</v>
      </c>
    </row>
    <row r="30" spans="1:7" ht="38.25" x14ac:dyDescent="0.2">
      <c r="A30" s="1038" t="s">
        <v>187</v>
      </c>
      <c r="B30" s="1044" t="s">
        <v>188</v>
      </c>
      <c r="C30" s="1039" t="s">
        <v>33</v>
      </c>
      <c r="D30" s="373"/>
      <c r="E30" s="383"/>
      <c r="F30" s="361" t="s">
        <v>32</v>
      </c>
      <c r="G30" s="361">
        <f>129110.79+17700+51915</f>
        <v>198725.78999999998</v>
      </c>
    </row>
    <row r="31" spans="1:7" x14ac:dyDescent="0.2">
      <c r="A31" s="1038"/>
      <c r="B31" s="1045"/>
      <c r="C31" s="1040"/>
      <c r="D31" s="373"/>
      <c r="E31" s="383"/>
      <c r="F31" s="363" t="s">
        <v>30</v>
      </c>
      <c r="G31" s="363"/>
    </row>
    <row r="32" spans="1:7" ht="25.5" x14ac:dyDescent="0.2">
      <c r="A32" s="1038"/>
      <c r="B32" s="384" t="s">
        <v>189</v>
      </c>
      <c r="C32" s="1040"/>
      <c r="D32" s="373"/>
      <c r="E32" s="383"/>
      <c r="F32" s="363" t="s">
        <v>28</v>
      </c>
      <c r="G32" s="363">
        <v>180000</v>
      </c>
    </row>
    <row r="33" spans="1:7" ht="25.5" x14ac:dyDescent="0.2">
      <c r="A33" s="1038"/>
      <c r="B33" s="384" t="s">
        <v>190</v>
      </c>
      <c r="C33" s="1040"/>
      <c r="D33" s="373"/>
      <c r="E33" s="383"/>
      <c r="F33" s="364" t="s">
        <v>27</v>
      </c>
      <c r="G33" s="364"/>
    </row>
    <row r="34" spans="1:7" ht="25.5" x14ac:dyDescent="0.2">
      <c r="A34" s="1038"/>
      <c r="B34" s="385" t="s">
        <v>191</v>
      </c>
      <c r="C34" s="1041"/>
      <c r="D34" s="373"/>
      <c r="E34" s="383"/>
      <c r="F34" s="365" t="s">
        <v>25</v>
      </c>
      <c r="G34" s="365"/>
    </row>
    <row r="35" spans="1:7" ht="15.75" x14ac:dyDescent="0.25">
      <c r="A35" s="374" t="s">
        <v>4</v>
      </c>
      <c r="B35" s="14"/>
      <c r="C35" s="14"/>
      <c r="D35" s="14"/>
      <c r="E35" s="14"/>
      <c r="F35" s="13"/>
      <c r="G35" s="377">
        <f>SUM(G30:G34)</f>
        <v>378725.79</v>
      </c>
    </row>
    <row r="36" spans="1:7" ht="38.25" x14ac:dyDescent="0.2">
      <c r="A36" s="1038" t="s">
        <v>192</v>
      </c>
      <c r="B36" s="358" t="s">
        <v>193</v>
      </c>
      <c r="C36" s="1039" t="s">
        <v>33</v>
      </c>
      <c r="D36" s="386"/>
      <c r="E36" s="386"/>
      <c r="F36" s="361" t="s">
        <v>32</v>
      </c>
      <c r="G36" s="361">
        <f>129110.79+17700</f>
        <v>146810.78999999998</v>
      </c>
    </row>
    <row r="37" spans="1:7" ht="51" x14ac:dyDescent="0.2">
      <c r="A37" s="1038"/>
      <c r="B37" s="381" t="s">
        <v>194</v>
      </c>
      <c r="C37" s="1040"/>
      <c r="D37" s="373"/>
      <c r="E37" s="373"/>
      <c r="F37" s="363" t="s">
        <v>30</v>
      </c>
      <c r="G37" s="363"/>
    </row>
    <row r="38" spans="1:7" ht="51" x14ac:dyDescent="0.2">
      <c r="A38" s="1038"/>
      <c r="B38" s="381" t="s">
        <v>195</v>
      </c>
      <c r="C38" s="1040"/>
      <c r="D38" s="373"/>
      <c r="E38" s="373"/>
      <c r="F38" s="363" t="s">
        <v>28</v>
      </c>
      <c r="G38" s="363"/>
    </row>
    <row r="39" spans="1:7" ht="25.5" x14ac:dyDescent="0.2">
      <c r="A39" s="1038"/>
      <c r="B39" s="384" t="s">
        <v>196</v>
      </c>
      <c r="C39" s="1040"/>
      <c r="D39" s="373"/>
      <c r="E39" s="373"/>
      <c r="F39" s="364" t="s">
        <v>27</v>
      </c>
      <c r="G39" s="364"/>
    </row>
    <row r="40" spans="1:7" ht="25.5" x14ac:dyDescent="0.2">
      <c r="A40" s="1038"/>
      <c r="B40" s="382"/>
      <c r="C40" s="1041"/>
      <c r="D40" s="386"/>
      <c r="E40" s="386"/>
      <c r="F40" s="365" t="s">
        <v>25</v>
      </c>
      <c r="G40" s="365"/>
    </row>
    <row r="41" spans="1:7" ht="16.5" customHeight="1" x14ac:dyDescent="0.25">
      <c r="A41" s="374" t="s">
        <v>4</v>
      </c>
      <c r="B41" s="14"/>
      <c r="C41" s="14"/>
      <c r="D41" s="14"/>
      <c r="E41" s="14"/>
      <c r="F41" s="13"/>
      <c r="G41" s="377">
        <f>SUM(G36:G40)</f>
        <v>146810.78999999998</v>
      </c>
    </row>
    <row r="42" spans="1:7" ht="16.5" customHeight="1" x14ac:dyDescent="0.25">
      <c r="A42" s="387" t="s">
        <v>197</v>
      </c>
      <c r="B42" s="14"/>
      <c r="C42" s="14"/>
      <c r="D42" s="14"/>
      <c r="E42" s="14"/>
      <c r="F42" s="13"/>
      <c r="G42" s="376">
        <f>G41+G35+G29+G23+G17+G11</f>
        <v>1346322.1499999997</v>
      </c>
    </row>
    <row r="43" spans="1:7" ht="16.5" customHeight="1" x14ac:dyDescent="0.25">
      <c r="A43" s="387" t="s">
        <v>283</v>
      </c>
      <c r="B43" s="14"/>
      <c r="C43" s="14"/>
      <c r="D43" s="14"/>
      <c r="E43" s="14"/>
      <c r="F43" s="13"/>
      <c r="G43" s="376">
        <f>0.07*G42</f>
        <v>94242.550499999983</v>
      </c>
    </row>
    <row r="44" spans="1:7" ht="15.75" x14ac:dyDescent="0.25">
      <c r="A44" s="388" t="s">
        <v>104</v>
      </c>
      <c r="B44" s="6"/>
      <c r="C44" s="6"/>
      <c r="D44" s="6"/>
      <c r="E44" s="6"/>
      <c r="F44" s="5"/>
      <c r="G44" s="389">
        <f>G43+G42</f>
        <v>1440564.7004999996</v>
      </c>
    </row>
    <row r="47" spans="1:7" ht="12" customHeight="1" x14ac:dyDescent="0.2"/>
    <row r="48" spans="1:7" hidden="1" x14ac:dyDescent="0.2">
      <c r="A48" s="390" t="s">
        <v>284</v>
      </c>
    </row>
    <row r="49" spans="1:2" hidden="1" x14ac:dyDescent="0.2">
      <c r="A49" s="1035" t="s">
        <v>285</v>
      </c>
      <c r="B49" s="1036" t="s">
        <v>286</v>
      </c>
    </row>
    <row r="50" spans="1:2" hidden="1" x14ac:dyDescent="0.2">
      <c r="A50" s="1035"/>
      <c r="B50" s="1037"/>
    </row>
    <row r="51" spans="1:2" ht="15" hidden="1" x14ac:dyDescent="0.25">
      <c r="A51" s="391" t="s">
        <v>287</v>
      </c>
      <c r="B51" s="392">
        <f>G6+G12+G18+G24+G30+G36</f>
        <v>1080155.1499999999</v>
      </c>
    </row>
    <row r="52" spans="1:2" ht="15" hidden="1" x14ac:dyDescent="0.25">
      <c r="A52" s="391" t="s">
        <v>288</v>
      </c>
      <c r="B52" s="392">
        <f>G7+G13</f>
        <v>78500</v>
      </c>
    </row>
    <row r="53" spans="1:2" ht="15" hidden="1" x14ac:dyDescent="0.25">
      <c r="A53" s="391" t="s">
        <v>289</v>
      </c>
      <c r="B53" s="392">
        <f>G32</f>
        <v>180000</v>
      </c>
    </row>
    <row r="54" spans="1:2" ht="15" hidden="1" x14ac:dyDescent="0.25">
      <c r="A54" s="391" t="s">
        <v>290</v>
      </c>
      <c r="B54" s="392"/>
    </row>
    <row r="55" spans="1:2" ht="15" hidden="1" x14ac:dyDescent="0.25">
      <c r="A55" s="393" t="s">
        <v>291</v>
      </c>
      <c r="B55" s="392">
        <f>G16</f>
        <v>7667</v>
      </c>
    </row>
    <row r="56" spans="1:2" ht="15" hidden="1" x14ac:dyDescent="0.25">
      <c r="A56" s="394" t="s">
        <v>292</v>
      </c>
      <c r="B56" s="392">
        <f>SUM(B51:B55)</f>
        <v>1346322.15</v>
      </c>
    </row>
    <row r="57" spans="1:2" ht="15" hidden="1" x14ac:dyDescent="0.25">
      <c r="A57" s="391" t="s">
        <v>293</v>
      </c>
      <c r="B57" s="392">
        <f>0.07*B56</f>
        <v>94242.550499999998</v>
      </c>
    </row>
    <row r="58" spans="1:2" ht="15" hidden="1" x14ac:dyDescent="0.25">
      <c r="A58" s="395" t="s">
        <v>104</v>
      </c>
      <c r="B58" s="396">
        <f>B57+B56</f>
        <v>1440564.7004999998</v>
      </c>
    </row>
  </sheetData>
  <mergeCells count="20">
    <mergeCell ref="A49:A50"/>
    <mergeCell ref="B49:B50"/>
    <mergeCell ref="A12:A16"/>
    <mergeCell ref="C12:C16"/>
    <mergeCell ref="B14:B15"/>
    <mergeCell ref="A18:A22"/>
    <mergeCell ref="C18:C22"/>
    <mergeCell ref="A24:A28"/>
    <mergeCell ref="C24:C28"/>
    <mergeCell ref="A30:A34"/>
    <mergeCell ref="B30:B31"/>
    <mergeCell ref="C30:C34"/>
    <mergeCell ref="A36:A40"/>
    <mergeCell ref="C36:C40"/>
    <mergeCell ref="A6:A10"/>
    <mergeCell ref="A2:G2"/>
    <mergeCell ref="A4:B4"/>
    <mergeCell ref="C4:C5"/>
    <mergeCell ref="D4:E4"/>
    <mergeCell ref="F4:G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Previous vs current submission</vt:lpstr>
      <vt:lpstr>Overview 2011-2014</vt:lpstr>
      <vt:lpstr>Summary 2014 Budget</vt:lpstr>
      <vt:lpstr>Summary 2014 Budget by Agency</vt:lpstr>
      <vt:lpstr>Secretariat work plan 2014 </vt:lpstr>
      <vt:lpstr>Category of support by outc (2</vt:lpstr>
      <vt:lpstr>Category of support</vt:lpstr>
      <vt:lpstr>Overview</vt:lpstr>
      <vt:lpstr>Workplan</vt:lpstr>
      <vt:lpstr>Annex 1</vt:lpstr>
      <vt:lpstr>Consl worksheet (2)</vt:lpstr>
      <vt:lpstr>Sheet3</vt:lpstr>
      <vt:lpstr>Sheet1</vt:lpstr>
      <vt:lpstr>Sheet2</vt:lpstr>
      <vt:lpstr>Private Sector</vt:lpstr>
      <vt:lpstr>Sheet4</vt:lpstr>
      <vt:lpstr>'Category of support'!Print_Area</vt:lpstr>
      <vt:lpstr>'Category of support by outc (2'!Print_Area</vt:lpstr>
      <vt:lpstr>Overview!Print_Area</vt:lpstr>
      <vt:lpstr>'Overview 2011-2014'!Print_Area</vt:lpstr>
      <vt:lpstr>'Previous vs current submission'!Print_Area</vt:lpstr>
      <vt:lpstr>'Secretariat work plan 2014 '!Print_Area</vt:lpstr>
      <vt:lpstr>'Summary 2014 Budget'!Print_Area</vt:lpstr>
      <vt:lpstr>'Summary 2014 Budget by Agency'!Print_Area</vt:lpstr>
      <vt:lpstr>'Category of support'!Print_Titles</vt:lpstr>
      <vt:lpstr>'Consl worksheet (2)'!Print_Titles</vt:lpstr>
      <vt:lpstr>'Overview 2011-2014'!Print_Titles</vt:lpstr>
      <vt:lpstr>'Previous vs current submission'!Print_Titles</vt:lpstr>
      <vt:lpstr>'Summary 2014 Budget'!Print_Titles</vt:lpstr>
      <vt:lpstr>'Summary 2014 Budget by Agency'!Print_Titles</vt:lpstr>
    </vt:vector>
  </TitlesOfParts>
  <Company>UNDP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undp</dc:creator>
  <cp:lastModifiedBy>Mark Grassi</cp:lastModifiedBy>
  <cp:lastPrinted>2014-02-10T18:42:07Z</cp:lastPrinted>
  <dcterms:created xsi:type="dcterms:W3CDTF">2012-08-29T11:54:05Z</dcterms:created>
  <dcterms:modified xsi:type="dcterms:W3CDTF">2015-02-24T10:14:43Z</dcterms:modified>
</cp:coreProperties>
</file>