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defaultThemeVersion="124226"/>
  <mc:AlternateContent xmlns:mc="http://schemas.openxmlformats.org/markup-compatibility/2006">
    <mc:Choice Requires="x15">
      <x15ac:absPath xmlns:x15ac="http://schemas.microsoft.com/office/spreadsheetml/2010/11/ac" url="\\wcmc-data-03.internal.wcmc\Programs\PROJECTS\6400s\06400.00.E UN-REDD Congo Brazza\Work in progress\CBA spreadsheet tool\Near final from Terea\"/>
    </mc:Choice>
  </mc:AlternateContent>
  <bookViews>
    <workbookView xWindow="0" yWindow="0" windowWidth="20490" windowHeight="7455" tabRatio="646" activeTab="1"/>
  </bookViews>
  <sheets>
    <sheet name="Légende" sheetId="10" r:id="rId1"/>
    <sheet name="Bilan ACB" sheetId="1" r:id="rId2"/>
  </sheets>
  <definedNames>
    <definedName name="_xlnm.Print_Area" localSheetId="1">'Bilan ACB'!$A$5:$J$112</definedName>
  </definedNames>
  <calcPr calcId="152511"/>
</workbook>
</file>

<file path=xl/calcChain.xml><?xml version="1.0" encoding="utf-8"?>
<calcChain xmlns="http://schemas.openxmlformats.org/spreadsheetml/2006/main">
  <c r="H48" i="1" l="1"/>
  <c r="I48" i="1"/>
  <c r="F48" i="1"/>
  <c r="H104" i="1" l="1"/>
  <c r="G104" i="1"/>
  <c r="I104" i="1" s="1"/>
  <c r="F104" i="1"/>
  <c r="H103" i="1"/>
  <c r="H102" i="1"/>
  <c r="H32" i="1"/>
  <c r="H111" i="1" l="1"/>
  <c r="H110" i="1"/>
  <c r="G106" i="1"/>
  <c r="H78" i="1"/>
  <c r="G78" i="1"/>
  <c r="F78" i="1"/>
  <c r="I77" i="1"/>
  <c r="H77" i="1"/>
  <c r="G77" i="1"/>
  <c r="F77" i="1"/>
  <c r="E77" i="1"/>
  <c r="H76" i="1"/>
  <c r="H75" i="1"/>
  <c r="H74" i="1"/>
  <c r="H73" i="1"/>
  <c r="G103" i="1" l="1"/>
  <c r="F103" i="1"/>
  <c r="G102" i="1"/>
  <c r="I102" i="1" s="1"/>
  <c r="F102" i="1"/>
  <c r="H34" i="1"/>
  <c r="G34" i="1"/>
  <c r="I34" i="1" s="1"/>
  <c r="F34" i="1"/>
  <c r="G32" i="1"/>
  <c r="F32" i="1"/>
  <c r="I103" i="1" l="1"/>
  <c r="I32" i="1"/>
  <c r="F74" i="1"/>
  <c r="G111" i="1" l="1"/>
  <c r="I111" i="1" s="1"/>
  <c r="F111" i="1"/>
  <c r="E111" i="1"/>
  <c r="I110" i="1"/>
  <c r="E110" i="1"/>
  <c r="G109" i="1"/>
  <c r="I109" i="1" s="1"/>
  <c r="F109" i="1"/>
  <c r="G108" i="1"/>
  <c r="F108" i="1"/>
  <c r="E108" i="1"/>
  <c r="G107" i="1"/>
  <c r="I107" i="1" s="1"/>
  <c r="F107" i="1"/>
  <c r="E107" i="1"/>
  <c r="F106" i="1"/>
  <c r="I106" i="1" s="1"/>
  <c r="E106" i="1"/>
  <c r="E89" i="1"/>
  <c r="E91" i="1"/>
  <c r="E90" i="1"/>
  <c r="I78" i="1"/>
  <c r="G76" i="1"/>
  <c r="F76" i="1"/>
  <c r="G75" i="1"/>
  <c r="F75" i="1"/>
  <c r="G74" i="1"/>
  <c r="I74" i="1" s="1"/>
  <c r="G73" i="1"/>
  <c r="I73" i="1"/>
  <c r="G59" i="1"/>
  <c r="F59" i="1"/>
  <c r="I59" i="1"/>
  <c r="G58" i="1"/>
  <c r="I58" i="1" s="1"/>
  <c r="G46" i="1"/>
  <c r="I46" i="1" s="1"/>
  <c r="E40" i="1"/>
  <c r="E42" i="1" s="1"/>
  <c r="E58" i="1"/>
  <c r="J71" i="1"/>
  <c r="J100" i="1" s="1"/>
  <c r="J30" i="1"/>
  <c r="I75" i="1" l="1"/>
  <c r="I76" i="1"/>
  <c r="I108" i="1"/>
</calcChain>
</file>

<file path=xl/comments1.xml><?xml version="1.0" encoding="utf-8"?>
<comments xmlns="http://schemas.openxmlformats.org/spreadsheetml/2006/main">
  <authors>
    <author>Christine Langevin</author>
  </authors>
  <commentList>
    <comment ref="D51" authorId="0" shapeId="0">
      <text>
        <r>
          <rPr>
            <b/>
            <sz val="9"/>
            <color indexed="81"/>
            <rFont val="Tahoma"/>
            <family val="2"/>
          </rPr>
          <t>Christine Langevin:</t>
        </r>
        <r>
          <rPr>
            <sz val="9"/>
            <color indexed="81"/>
            <rFont val="Tahoma"/>
            <family val="2"/>
          </rPr>
          <t xml:space="preserve">
à mettre en noir?</t>
        </r>
      </text>
    </comment>
  </commentList>
</comments>
</file>

<file path=xl/sharedStrings.xml><?xml version="1.0" encoding="utf-8"?>
<sst xmlns="http://schemas.openxmlformats.org/spreadsheetml/2006/main" count="377" uniqueCount="194">
  <si>
    <t>Finalisation du processus de révision du cadre juridique en cours dans les secteurs forêts environnement</t>
  </si>
  <si>
    <t>Mise en place et opérationnalisation des Fonds environnementaux (fonds verts et autres)</t>
  </si>
  <si>
    <t>Mise en place de mécanismes novateurs de financement (taxes de conversion des surfaces, échanges dette/nature etc.)</t>
  </si>
  <si>
    <t>Mobilisation de financements bilatéraux et multilatéraux</t>
  </si>
  <si>
    <t>Généralisation du processus d'élaboration et de mise en œuvre des plans d'aménagement forestier durable</t>
  </si>
  <si>
    <t>Renforcement de la légalité et promotion de la certification</t>
  </si>
  <si>
    <t>Renforcement des systèmes de légalité et de traçabilité des produits forestiers à travers du processus APV-FLEGT</t>
  </si>
  <si>
    <t>Développement d'un système d'information et de gestion forestier (SIGEF)</t>
  </si>
  <si>
    <t xml:space="preserve">Généralisation des pratiques EFIR </t>
  </si>
  <si>
    <t>Valorisation plus poussée des produits forestiers ligneux et non ligneux</t>
  </si>
  <si>
    <t xml:space="preserve">Renforcement du réseau d'AP </t>
  </si>
  <si>
    <t>Généralisation du processus d'élaboration et de mise en œuvre des plans d'aménagement des AP</t>
  </si>
  <si>
    <t>Renforcement de la participation des communautés locales et populations autochtones dans la gestion des AP</t>
  </si>
  <si>
    <t>Promotion et valorisation économique des AP, de la filière faune et de l'écotourisme</t>
  </si>
  <si>
    <t>Amélioration de la chaîne de valeur des PFNL (incluant le développement des pratiques de conservation des PFNL)</t>
  </si>
  <si>
    <t>Augmenter les revenus des populations locales et autochtones par la valorisation durable des PFNL</t>
  </si>
  <si>
    <t>Renforcement des moyens d'intervention des agents chargés d'assurer le contrôle forestier et leurs capacités en matière de procédures</t>
  </si>
  <si>
    <t>Renforcement des moyens de surveillance, de contrôle sur le terrain</t>
  </si>
  <si>
    <t>Renforcement des capacités des usagers de la forêt</t>
  </si>
  <si>
    <t>Développement et utilisation des pratiques culturales durables et plus modernes (jachère améliorée, etc.) - bonnes pratiques agricoles et itinéraires techniques</t>
  </si>
  <si>
    <t>Appui des petits producteurs à l'élaboration des dossiers de demande de financement et à l'accès à ces financements</t>
  </si>
  <si>
    <t>Spécialisation des agriculteurs et développement des filières agricoles</t>
  </si>
  <si>
    <t>Renforcement et vulgarisation des mesures incitatives fiscalo-douanières pour l'importation des intrants et matériel agricoles par des producteurs</t>
  </si>
  <si>
    <t>Développement de la recherche d'accompagnement</t>
  </si>
  <si>
    <t xml:space="preserve">Dynamisation des campagnes de vulgarisation des innovations agricoles </t>
  </si>
  <si>
    <t xml:space="preserve">Renforcement des capacités des institutions de recherche agricole </t>
  </si>
  <si>
    <t>Renforcement de la formation professionnelle agricole</t>
  </si>
  <si>
    <t>Formation des producteurs agricoles en techniques de domestication des plantes</t>
  </si>
  <si>
    <t xml:space="preserve">Aide à l'élaboration des plans d'affaires pour les producteurs agricoles </t>
  </si>
  <si>
    <t>Vulgarisation des techniques de carbonisation améliorée</t>
  </si>
  <si>
    <t>Promotion et diffusion des foyers améliorés adaptés dans les grandes villes pour réduire les demandes en bois-énergie</t>
  </si>
  <si>
    <t xml:space="preserve">Organisation de la production du bois de chauffe et du charbon de bois, en encourageant les plantations communautaires et individuelles </t>
  </si>
  <si>
    <t>Organisation des filières liées au stockage, conditionnement, transport, commercialisation etc. du bois énergie</t>
  </si>
  <si>
    <t>Promotion et développement de l'énergie hydroélectrique par la construction de barrage et micro-barrage</t>
  </si>
  <si>
    <t>Promotion et développement de l'énergie propre (solaire, biogaz, etc.)</t>
  </si>
  <si>
    <t>Installation d'hydroliennes flottantes au niveau des villages pour éviter l'usage des générateurs</t>
  </si>
  <si>
    <t>Développement de la cogénération</t>
  </si>
  <si>
    <t>Promotion et développement des unités de carbonisation et de fabrique de briquettes à proximité des sites industriels</t>
  </si>
  <si>
    <t>Le recyclage des déchets par la valorisation énergétique de la biomasse ligneuse</t>
  </si>
  <si>
    <t>Elaborer valider les décrets d’application de la loi 37-2008 relative à la faune et AP</t>
  </si>
  <si>
    <t>-</t>
  </si>
  <si>
    <t>Appui et formation des producteurs agricoles dans la création et la gestion des champs de multiplications de cultures vivrières (maïs, manioc, haricot, arachide et autres…) et des systèmes agroforestiers</t>
  </si>
  <si>
    <t>Amender / Adopter le nouveau code forestier</t>
  </si>
  <si>
    <t>Elaborer / Adopter la nouvelle loi relative à la protection de l’environnement</t>
  </si>
  <si>
    <t xml:space="preserve">Développer la menuiserie en utilisant les déchets de transformation avec les communautés locales </t>
  </si>
  <si>
    <t>Finalisation des PA de toutes les concessions en 2017</t>
  </si>
  <si>
    <t>Le gnetum est domestiqué</t>
  </si>
  <si>
    <t>L'apiculture est développée</t>
  </si>
  <si>
    <t>La vannerie est développée</t>
  </si>
  <si>
    <t>Mettre en œuvre le programme national cacao-culture</t>
  </si>
  <si>
    <t xml:space="preserve">Renforcement des capacités du CVTA </t>
  </si>
  <si>
    <t>Organisation des producteurs agricoles en groupement précoopératif, coopérative, groupement d'intérêt économique et social</t>
  </si>
  <si>
    <t>Formation des producteurs agricoles organisés en groupement d'intérêt économique et social</t>
  </si>
  <si>
    <t>Elaboration et réalisation des modules de formations</t>
  </si>
  <si>
    <t>Renforcement des capacités de l'IRA pour le développement de la recherche agricole en lien (si possible) avec des objectifs REDD+</t>
  </si>
  <si>
    <t>Renforcement des capacités du CNES pour le développement de la recherche agricole en lien (si possible) avec des objectifs REDD+</t>
  </si>
  <si>
    <t>Renforcement des capacités de l'INRSEN pour le développement de la recherche agricole en lien (si possible) avec des objectifs REDD+</t>
  </si>
  <si>
    <t>Sensibilisation des petits producteurs sur les possibilités des structures bancaires pour l'appui aux VoirE</t>
  </si>
  <si>
    <t>Mettre en œuvre les dispositions du plan de convergence relatives à la mise en place des mécanismes novateurs de l'axe 9</t>
  </si>
  <si>
    <t xml:space="preserve">Activité couverte par 213 </t>
  </si>
  <si>
    <t>Mise en œuvre par tous les concessionnaires de leurs plans d'aménagement</t>
  </si>
  <si>
    <t>Obtention d'un certificat de type FSC gestion durable pour tous les concessionnaires forestiers en 2020</t>
  </si>
  <si>
    <t>Maintien de ces certificats par les concessionnaires</t>
  </si>
  <si>
    <t>Audit du système</t>
  </si>
  <si>
    <t>Développement du SI du SIFODD</t>
  </si>
  <si>
    <t>Opérationnalisation du SI du SIFODD</t>
  </si>
  <si>
    <t xml:space="preserve">Activité couverte par 211 </t>
  </si>
  <si>
    <t>Activité couverte par 223</t>
  </si>
  <si>
    <t>Activité couverte par 441 et 442</t>
  </si>
  <si>
    <t>Activité couverte par 252</t>
  </si>
  <si>
    <t>Activité couverte par 231</t>
  </si>
  <si>
    <t>Promotion des activités alternatives autour des AP</t>
  </si>
  <si>
    <t xml:space="preserve">Renforcer les capacités de l'API pour faire la promotion des ressources fauniques dans les AP auprès des investisseurs </t>
  </si>
  <si>
    <t>Finalisation des PA de toutes les AP</t>
  </si>
  <si>
    <t>Mise en œuvre par tous les gestionnaires des AP des plans d'aménagement</t>
  </si>
  <si>
    <t>Activité couverte par 213</t>
  </si>
  <si>
    <t xml:space="preserve">Activité couverte par 311 et 312 </t>
  </si>
  <si>
    <t>Activité couverte par 311 et 312</t>
  </si>
  <si>
    <t>Activité couverte par 343</t>
  </si>
  <si>
    <t>Activité couverte par 241 et 242</t>
  </si>
  <si>
    <t xml:space="preserve">Développement et accompagnement de producteurs locaux des communautés résidentes à proximité des sites de transformation pour la production de charbon améliorée </t>
  </si>
  <si>
    <t>Développement et accompagnement de producteurs locaux des communautés résidentes à proximité des sites de transformation pour la production de briquettes</t>
  </si>
  <si>
    <t>Développement de la filière manioc dans une optique de minimisation des impacts sur la forêt</t>
  </si>
  <si>
    <t>Développement de la filière banane dans une optique de minimisation des impacts sur la forêt</t>
  </si>
  <si>
    <t xml:space="preserve">- Etude de faisabilité 
- Renforcement et accompagnement des producteurs de charbon de bois pour l'utilisation de techniques de carbonisation améliorée </t>
  </si>
  <si>
    <t xml:space="preserve">- Etude de faisabilité
- Diffusion de foyers améliorés dans les grandes villes pour les foyers utilisant du bois énergie et du charbon de bois </t>
  </si>
  <si>
    <t xml:space="preserve">Finalisation de la mise en place des barrages prévus pour le programme "boulevard énergétique" </t>
  </si>
  <si>
    <t xml:space="preserve">Mise en place de projets de promotion et développement de l'énergie solaire prévus en marge du programme "boulevard énergétique" </t>
  </si>
  <si>
    <t>Mettre en place une hydrolienne au Congo pour tester la pertinence de la technologie</t>
  </si>
  <si>
    <t>Mise en place de la Politique Agricole</t>
  </si>
  <si>
    <t>Elaborer et valider la politique agricole</t>
  </si>
  <si>
    <t xml:space="preserve">Mise en place d'un Plan National d’Affectation des Terres qui définit les vocations prioritaires du territoire an concertation avec l'ensemble des parties prenantes  </t>
  </si>
  <si>
    <t>Renforcement des brigades</t>
  </si>
  <si>
    <t>Développer la production d'huile de palme en savane</t>
  </si>
  <si>
    <t xml:space="preserve">Mettre en œuvre le PRONAR sur son volet plantations énergétiques autour de Brazzaville et Pointe Noire et distribuer le bois/charbon issu de ces plantations </t>
  </si>
  <si>
    <t>Elaborer et valider les décrets d’application de la nouvelle loi relative à la protection de l'environnement</t>
  </si>
  <si>
    <t>Elaborer et valider les décrets d'application de la Loi sur les Peuples Autochtones</t>
  </si>
  <si>
    <t xml:space="preserve">Equiper les sites industriels de transformation du bois en unité de cogénération </t>
  </si>
  <si>
    <t>Développer l'agroforesterie de savane</t>
  </si>
  <si>
    <t>Elaborer et valider les décrets d’application relatifs au nouveau code forestier</t>
  </si>
  <si>
    <t>Réviser le Code Minier de 2005</t>
  </si>
  <si>
    <t>Elaborer et valider les décrets d'application du Code Minier révisé</t>
  </si>
  <si>
    <t>Appui à l'opérationnalisation des comités nationaux en charge de l'aménagement du territoire, du développement durable, du climat et de la REDD+</t>
  </si>
  <si>
    <t>Renforcement des moyens de l'administration et des collectivités territoriales décentralisées pour rendre effectif et efficace le contrôle des activités forestières</t>
  </si>
  <si>
    <t>Assurer les moyens de fonctionnement des quatre comités nationaux</t>
  </si>
  <si>
    <t>Définir et adopter un Plan National d’Affectation des Terres (carte) qui définit les vocations prioritaires du territoire an concertation avec l'ensemble des parties prenantes.
Cette définition passe par l'élaboration des Termes de Reference, le recrutement d'un cabinet d'études, la tenue d'ateliers de consultation sectoriels et départementaux</t>
  </si>
  <si>
    <t>SO 1.1 Renforcement des aspects de gouvernance</t>
  </si>
  <si>
    <t>SO 1.2 Elaboration et mise en place d'un plan national d'affectation des terres</t>
  </si>
  <si>
    <t>SO 1.3 Mise en œuvre des mécanismes de financement durable</t>
  </si>
  <si>
    <t>SO 1.4 Renforcement de la capacité des acteurs</t>
  </si>
  <si>
    <t>OPTION 1: Renforcement de la gouvernance et mise en œuvre des mécanismes de financement durable</t>
  </si>
  <si>
    <t>OPTION 2 : Gestion et valorisation durable des ressources forestières</t>
  </si>
  <si>
    <t>SO 2.1 Aménagement forestier durable</t>
  </si>
  <si>
    <t>SO 2.2 Amélioration des techniques en matière d'exploitation et de transformation du bois</t>
  </si>
  <si>
    <t>SO 2.3 Conservation et utilisation durable de la biodiversité</t>
  </si>
  <si>
    <t>SO 2.4 Promotion et valorisation des PFNL</t>
  </si>
  <si>
    <t>SO 2.5 Renforcement des stocks de carbone forestier</t>
  </si>
  <si>
    <t>SO 2.6 Renforcement de capacité de l'administration forestière</t>
  </si>
  <si>
    <t>Mise en œuvre du PRONAR</t>
  </si>
  <si>
    <t>Renforcement des directions départementales</t>
  </si>
  <si>
    <t>Appui à l'opérationnalisation du PRONAR</t>
  </si>
  <si>
    <t>Création d'une aire protégée (Ogoue-Lekiti)</t>
  </si>
  <si>
    <t>Valorisation des déchets forestiers (menuiserie, charbonnage, développement de la cogénération, etc.)</t>
  </si>
  <si>
    <t>Mettre en place et opérationnaliser un plan d'industrialisation visant une transformation à 95%</t>
  </si>
  <si>
    <t>Renforcement des capacités de l'administration et des collectivités pour permettre les contrôles de 1er et 2eme niveau</t>
  </si>
  <si>
    <t xml:space="preserve">Délivrance des autorisations FLEGT </t>
  </si>
  <si>
    <t>OPTION 4 : Rationalisation de la production et de l'utilisation du bois énergie</t>
  </si>
  <si>
    <t>OPTION 3 : Amélioration des systèmes agricoles</t>
  </si>
  <si>
    <t>SO 3.2 Accès des petits producteurs au micro-crédit</t>
  </si>
  <si>
    <t>SO 3.1 Amélioration de la productivité agricole</t>
  </si>
  <si>
    <t>SO 3.3 Soutien à l'organisation de la profession</t>
  </si>
  <si>
    <t>SO 3.4 Renforcement de la recherche et de la vulgarisation agricole</t>
  </si>
  <si>
    <t>SO 3.5 Renforcement des capacités</t>
  </si>
  <si>
    <t>SO 4.1 Amélioration de l'offre et promotion des techniques visant une meilleure efficacité énergétique</t>
  </si>
  <si>
    <t xml:space="preserve">SO 4.3 Développement et incitation à l'utilisation des énergies propres </t>
  </si>
  <si>
    <t>SO 4.4 Valorisation des déchets de l'exploitation et de l'industrie forestière ainsi que ceux de l'agriculture à des fins énergétiques</t>
  </si>
  <si>
    <t>Mise en place de coopératives appuyant la distribution et la commercialisation du bois énergie</t>
  </si>
  <si>
    <t>Consolidation des moyens d'intervention de la recherche et des organismes de vulgarisation agricole</t>
  </si>
  <si>
    <t>Développement du Palmier a Huile dans les zones savanicoles</t>
  </si>
  <si>
    <t>Développement des cultures de rente à forte valeur ajoutée (café, cacao, hévéa)</t>
  </si>
  <si>
    <t>Développer l'hévéaculture en zone de savane</t>
  </si>
  <si>
    <t>BILAN DES ACB de la Stratégie REDD+</t>
  </si>
  <si>
    <t>Sous Option</t>
  </si>
  <si>
    <t xml:space="preserve">Activité </t>
  </si>
  <si>
    <t>Sous-activité</t>
  </si>
  <si>
    <t>Coût d'investissement</t>
  </si>
  <si>
    <t>Coût de fonctionnement</t>
  </si>
  <si>
    <t>Recettes REDD+</t>
  </si>
  <si>
    <t>Recettes (hors REDD+)</t>
  </si>
  <si>
    <t>Résultats des ACB (FCFA)</t>
  </si>
  <si>
    <t>Visibilité du processus REDD+ au niveau des parties prenantes</t>
  </si>
  <si>
    <t xml:space="preserve">Sensibilisation des parties prenantes au processus REDD+ </t>
  </si>
  <si>
    <t xml:space="preserve">Gestion des connaissances des parties prenantes </t>
  </si>
  <si>
    <t xml:space="preserve">SO 4.2 Développement des plantations à vocation énergétique </t>
  </si>
  <si>
    <t>Renforcement des capacités des Parties Prenantes</t>
  </si>
  <si>
    <t xml:space="preserve">Fonds de l’économie verte en Afrique Centrale (FEVAC) </t>
  </si>
  <si>
    <t>Autres fonds</t>
  </si>
  <si>
    <t>Activités déjà réalisées</t>
  </si>
  <si>
    <t>Chiffre en gris</t>
  </si>
  <si>
    <t>Coût pris en compte également dans l'activité mentionnée à gauche</t>
  </si>
  <si>
    <t>Activité WCMC</t>
  </si>
  <si>
    <t>Coût d'investissement (totaux)</t>
  </si>
  <si>
    <t>Coût de fonctionnement (annuel)</t>
  </si>
  <si>
    <t>Recettes (hors REDD+) (annuel)</t>
  </si>
  <si>
    <t>Recettes REDD+ (annuel)</t>
  </si>
  <si>
    <t>Durée considérée (valeur en années)</t>
  </si>
  <si>
    <t>Tableau bilan de ttes les AC &amp; ACB du document</t>
  </si>
  <si>
    <t>Résultats des AC et ACB (Millions de FCFA)</t>
  </si>
  <si>
    <t>Profits (annuel)</t>
  </si>
  <si>
    <t>Elaborer les Termes de Reference, conduire des missions de lobbying dans les pays bailleurs de fond et organiser des réunions de haut segment</t>
  </si>
  <si>
    <t>Développement et opérationnalisation du système d'information</t>
  </si>
  <si>
    <t>na</t>
  </si>
  <si>
    <t>Fonds Vert Climat (FVC)</t>
  </si>
  <si>
    <t>Valoriser les déchets de l'industrie de transformation</t>
  </si>
  <si>
    <t>Valoriser les PFNL</t>
  </si>
  <si>
    <t xml:space="preserve">Activité couverte par 241 et 242 </t>
  </si>
  <si>
    <t xml:space="preserve">Valorisation énergétique des déchets de l'industrie de transformation </t>
  </si>
  <si>
    <t>Les équipe de surveillance de terrain  sont renforcées (éco gardes)</t>
  </si>
  <si>
    <t xml:space="preserve">Toutes les aires protégées disposent de plan d'aménagement </t>
  </si>
  <si>
    <t>Les plans d'aménagements sont mis en œuvre</t>
  </si>
  <si>
    <t>Les plans d’aménagement et leurs mise en œuvre inclus le renforcement des populations dans la gestion</t>
  </si>
  <si>
    <t>Les PA et leurs mise en œuvre inclus la valorisation économique</t>
  </si>
  <si>
    <t xml:space="preserve">Renforcement des équipes de terrain de l'ACFAP (effectif, formation et matériel) </t>
  </si>
  <si>
    <t>Création et renforcement des capacités (effectif, formation et matériel) des antennes départementales</t>
  </si>
  <si>
    <t>Renforcer les capacités de l’administration et des collectivités territoriales dans l’optique de la mise en œuvre du SNVL</t>
  </si>
  <si>
    <t>Les agents de surveillance de terrain de l'administration, usagers de la forêt,  sont renforcés</t>
  </si>
  <si>
    <t>Activité couverte par 261 et 262</t>
  </si>
  <si>
    <t xml:space="preserve">Renforcement des organismes de recherche </t>
  </si>
  <si>
    <t>Renforcement des organismes de vulgarisation de la recherche</t>
  </si>
  <si>
    <t>Activité couverte par 344</t>
  </si>
  <si>
    <t xml:space="preserve">Réalisation de formations en techniques agricoles qui vont dans le sens d’une préservation des espaces forestiers / amélioration des rendements </t>
  </si>
  <si>
    <t>Réalisation de formations en gestion des groupements de producteurs</t>
  </si>
  <si>
    <t>855</t>
  </si>
  <si>
    <t>nd</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</si>
</sst>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_-;\-* #,##0.00\ _€_-;_-* &quot;-&quot;??\ _€_-;_-@_-"/>
    <numFmt numFmtId="165" formatCode="#,##0_ ;\-#,##0\ "/>
    <numFmt numFmtId="166" formatCode="0.0"/>
  </numFmts>
  <fonts count="33" x14ac:knownFonts="1">
    <font>
      <sz val="11"/>
      <color theme="1"/>
      <name val="Calibri"/>
      <family val="2"/>
      <scheme val="minor"/>
    </font>
    <font>
      <sz val="11"/>
      <color theme="0" tint="-0.499984740745262"/>
      <name val="Calibri"/>
      <family val="2"/>
      <scheme val="minor"/>
    </font>
    <font>
      <b/>
      <sz val="11"/>
      <name val="Tw Cen MT"/>
      <family val="2"/>
    </font>
    <font>
      <sz val="11"/>
      <name val="Tw Cen MT"/>
      <family val="2"/>
    </font>
    <font>
      <b/>
      <sz val="11"/>
      <color theme="1"/>
      <name val="Tw Cen MT"/>
      <family val="2"/>
    </font>
    <font>
      <sz val="11"/>
      <color theme="1"/>
      <name val="Tw Cen MT"/>
      <family val="2"/>
    </font>
    <font>
      <i/>
      <sz val="11"/>
      <color theme="0" tint="-0.499984740745262"/>
      <name val="Tw Cen MT"/>
      <family val="2"/>
    </font>
    <font>
      <sz val="11"/>
      <color theme="0" tint="-0.499984740745262"/>
      <name val="Tw Cen MT"/>
      <family val="2"/>
    </font>
    <font>
      <b/>
      <i/>
      <sz val="11"/>
      <color theme="1"/>
      <name val="Tw Cen MT"/>
      <family val="2"/>
    </font>
    <font>
      <b/>
      <sz val="12"/>
      <name val="Tw Cen MT"/>
      <family val="2"/>
    </font>
    <font>
      <sz val="11"/>
      <color rgb="FF000000"/>
      <name val="Tw Cen MT"/>
      <family val="2"/>
    </font>
    <font>
      <sz val="12"/>
      <color theme="1"/>
      <name val="Tw Cen MT"/>
      <family val="2"/>
    </font>
    <font>
      <sz val="11"/>
      <color theme="1"/>
      <name val="Calibri"/>
      <family val="2"/>
      <scheme val="minor"/>
    </font>
    <font>
      <b/>
      <sz val="16"/>
      <color theme="1"/>
      <name val="Tw Cen MT"/>
      <family val="2"/>
    </font>
    <font>
      <sz val="11"/>
      <color indexed="8"/>
      <name val="Tw Cen MT"/>
      <family val="2"/>
    </font>
    <font>
      <i/>
      <sz val="11"/>
      <color theme="1"/>
      <name val="Tw Cen MT"/>
      <family val="2"/>
    </font>
    <font>
      <u/>
      <sz val="11"/>
      <color theme="10"/>
      <name val="Calibri"/>
      <family val="2"/>
      <scheme val="minor"/>
    </font>
    <font>
      <u/>
      <sz val="11"/>
      <color theme="11"/>
      <name val="Calibri"/>
      <family val="2"/>
      <scheme val="minor"/>
    </font>
    <font>
      <sz val="10"/>
      <name val="Arial"/>
      <family val="2"/>
    </font>
    <font>
      <sz val="12"/>
      <color rgb="FF9C6500"/>
      <name val="Calibri"/>
      <family val="2"/>
      <scheme val="minor"/>
    </font>
    <font>
      <b/>
      <i/>
      <sz val="16"/>
      <color theme="1"/>
      <name val="Tw Cen MT"/>
      <family val="2"/>
    </font>
    <font>
      <b/>
      <i/>
      <sz val="11"/>
      <name val="Tw Cen MT"/>
      <family val="2"/>
    </font>
    <font>
      <i/>
      <sz val="11"/>
      <name val="Tw Cen MT"/>
      <family val="2"/>
    </font>
    <font>
      <i/>
      <sz val="12"/>
      <color theme="1"/>
      <name val="Tw Cen MT"/>
      <family val="2"/>
    </font>
    <font>
      <sz val="11"/>
      <color rgb="FFFF0000"/>
      <name val="Tw Cen MT"/>
      <family val="2"/>
    </font>
    <font>
      <b/>
      <sz val="16"/>
      <color rgb="FFFF0000"/>
      <name val="Tw Cen MT"/>
      <family val="2"/>
    </font>
    <font>
      <b/>
      <sz val="11"/>
      <color rgb="FFFF0000"/>
      <name val="Tw Cen MT"/>
      <family val="2"/>
    </font>
    <font>
      <i/>
      <sz val="11"/>
      <color rgb="FFFF0000"/>
      <name val="Tw Cen MT"/>
      <family val="2"/>
    </font>
    <font>
      <sz val="12"/>
      <color rgb="FFFF0000"/>
      <name val="Tw Cen MT"/>
      <family val="2"/>
    </font>
    <font>
      <sz val="11"/>
      <color rgb="FF808080"/>
      <name val="Tw Cen MT"/>
      <family val="2"/>
    </font>
    <font>
      <sz val="11"/>
      <color rgb="FF9C6500"/>
      <name val="Tw Cen MT"/>
      <family val="2"/>
    </font>
    <font>
      <sz val="9"/>
      <color indexed="81"/>
      <name val="Tahoma"/>
      <family val="2"/>
    </font>
    <font>
      <b/>
      <sz val="9"/>
      <color indexed="81"/>
      <name val="Tahoma"/>
      <family val="2"/>
    </font>
  </fonts>
  <fills count="13">
    <fill>
      <patternFill patternType="none"/>
    </fill>
    <fill>
      <patternFill patternType="gray125"/>
    </fill>
    <fill>
      <patternFill patternType="solid">
        <fgColor theme="4" tint="0.79998168889431442"/>
        <bgColor indexed="64"/>
      </patternFill>
    </fill>
    <fill>
      <patternFill patternType="solid">
        <fgColor theme="9"/>
        <bgColor indexed="64"/>
      </patternFill>
    </fill>
    <fill>
      <patternFill patternType="solid">
        <fgColor theme="4" tint="0.59999389629810485"/>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FFEB9C"/>
      </patternFill>
    </fill>
    <fill>
      <patternFill patternType="solid">
        <fgColor theme="5" tint="0.79998168889431442"/>
        <bgColor indexed="64"/>
      </patternFill>
    </fill>
    <fill>
      <patternFill patternType="solid">
        <fgColor theme="0"/>
        <bgColor indexed="64"/>
      </patternFill>
    </fill>
    <fill>
      <patternFill patternType="solid">
        <fgColor rgb="FFF2DCDB"/>
        <bgColor indexed="64"/>
      </patternFill>
    </fill>
  </fills>
  <borders count="12">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56">
    <xf numFmtId="0" fontId="0" fillId="0" borderId="0"/>
    <xf numFmtId="164" fontId="12" fillId="0" borderId="0" applyFon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0"/>
    <xf numFmtId="0" fontId="19" fillId="9" borderId="0" applyNumberFormat="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9" fontId="12" fillId="0" borderId="0" applyFont="0" applyFill="0" applyBorder="0" applyAlignment="0" applyProtection="0"/>
    <xf numFmtId="164" fontId="12" fillId="0" borderId="0" applyFont="0" applyFill="0" applyBorder="0" applyAlignment="0" applyProtection="0"/>
  </cellStyleXfs>
  <cellXfs count="319">
    <xf numFmtId="0" fontId="0" fillId="0" borderId="0" xfId="0"/>
    <xf numFmtId="0" fontId="1" fillId="0" borderId="0" xfId="0" applyFont="1"/>
    <xf numFmtId="0" fontId="2" fillId="3" borderId="0" xfId="0" applyFont="1" applyFill="1"/>
    <xf numFmtId="0" fontId="5" fillId="0" borderId="0" xfId="0" applyFont="1"/>
    <xf numFmtId="0" fontId="6" fillId="0" borderId="0" xfId="0" applyFont="1"/>
    <xf numFmtId="0" fontId="5" fillId="0" borderId="0" xfId="0" applyFont="1" applyFill="1"/>
    <xf numFmtId="0" fontId="5" fillId="0" borderId="0" xfId="0" applyFont="1" applyFill="1" applyAlignment="1">
      <alignment horizontal="center" vertical="center"/>
    </xf>
    <xf numFmtId="0" fontId="4" fillId="0" borderId="0" xfId="0" applyFont="1" applyFill="1"/>
    <xf numFmtId="0" fontId="5" fillId="0" borderId="0" xfId="0" applyFont="1" applyFill="1" applyAlignment="1">
      <alignment horizontal="left" vertical="center" wrapText="1"/>
    </xf>
    <xf numFmtId="0" fontId="3" fillId="0" borderId="0" xfId="0" applyFont="1" applyFill="1"/>
    <xf numFmtId="49" fontId="5" fillId="0" borderId="0" xfId="0" applyNumberFormat="1" applyFont="1"/>
    <xf numFmtId="49" fontId="5" fillId="0" borderId="0" xfId="0" applyNumberFormat="1" applyFont="1" applyFill="1"/>
    <xf numFmtId="0" fontId="8" fillId="0" borderId="0" xfId="0" applyFont="1"/>
    <xf numFmtId="0" fontId="8" fillId="0" borderId="0" xfId="0" applyFont="1" applyFill="1"/>
    <xf numFmtId="0" fontId="11" fillId="0" borderId="0" xfId="0" applyFont="1"/>
    <xf numFmtId="49" fontId="5" fillId="0" borderId="0" xfId="0" applyNumberFormat="1" applyFont="1" applyFill="1" applyBorder="1" applyAlignment="1">
      <alignment vertical="center" wrapText="1"/>
    </xf>
    <xf numFmtId="49" fontId="5" fillId="0" borderId="0" xfId="0" applyNumberFormat="1" applyFont="1" applyFill="1" applyBorder="1" applyAlignment="1">
      <alignment horizontal="left" vertical="center" wrapText="1"/>
    </xf>
    <xf numFmtId="0" fontId="3" fillId="0" borderId="0" xfId="0" applyFont="1" applyBorder="1" applyAlignment="1">
      <alignment horizontal="left" vertical="center" wrapText="1" readingOrder="1"/>
    </xf>
    <xf numFmtId="0" fontId="13" fillId="5" borderId="0" xfId="0" applyFont="1" applyFill="1"/>
    <xf numFmtId="49" fontId="13" fillId="5" borderId="0" xfId="0" applyNumberFormat="1" applyFont="1" applyFill="1"/>
    <xf numFmtId="0" fontId="4" fillId="0" borderId="0" xfId="0" applyFont="1" applyAlignment="1">
      <alignment vertical="center" wrapText="1"/>
    </xf>
    <xf numFmtId="0" fontId="2" fillId="2" borderId="0" xfId="0" applyFont="1" applyFill="1"/>
    <xf numFmtId="0" fontId="11" fillId="3" borderId="0" xfId="0" applyFont="1" applyFill="1"/>
    <xf numFmtId="0" fontId="4" fillId="4" borderId="0" xfId="0" applyFont="1" applyFill="1" applyAlignment="1">
      <alignment vertical="center" textRotation="90" wrapText="1"/>
    </xf>
    <xf numFmtId="0" fontId="4" fillId="4" borderId="0" xfId="0" applyFont="1" applyFill="1" applyAlignment="1">
      <alignment horizontal="center" vertical="center" textRotation="90" wrapText="1"/>
    </xf>
    <xf numFmtId="3" fontId="3" fillId="0" borderId="0" xfId="0" applyNumberFormat="1" applyFont="1" applyFill="1" applyBorder="1" applyAlignment="1">
      <alignment horizontal="center" vertical="center" wrapText="1"/>
    </xf>
    <xf numFmtId="49" fontId="5" fillId="6" borderId="0" xfId="0" applyNumberFormat="1" applyFont="1" applyFill="1" applyBorder="1" applyAlignment="1">
      <alignment vertical="center" wrapText="1"/>
    </xf>
    <xf numFmtId="0" fontId="4" fillId="4" borderId="0" xfId="0" applyFont="1" applyFill="1" applyAlignment="1">
      <alignment horizontal="center" vertical="center" wrapText="1"/>
    </xf>
    <xf numFmtId="0" fontId="0" fillId="8" borderId="0" xfId="0" applyFill="1"/>
    <xf numFmtId="0" fontId="0" fillId="7" borderId="0" xfId="0" applyFill="1"/>
    <xf numFmtId="0" fontId="2" fillId="4" borderId="0" xfId="0" applyFont="1" applyFill="1" applyAlignment="1">
      <alignment horizontal="center"/>
    </xf>
    <xf numFmtId="0" fontId="9" fillId="3" borderId="0" xfId="0" applyFont="1" applyFill="1"/>
    <xf numFmtId="49" fontId="9" fillId="3" borderId="0" xfId="0" applyNumberFormat="1" applyFont="1" applyFill="1"/>
    <xf numFmtId="49" fontId="2" fillId="3" borderId="0" xfId="0" applyNumberFormat="1" applyFont="1" applyFill="1"/>
    <xf numFmtId="0" fontId="5" fillId="3" borderId="0" xfId="0" applyFont="1" applyFill="1"/>
    <xf numFmtId="0" fontId="5" fillId="0" borderId="0" xfId="0" applyFont="1" applyFill="1" applyAlignment="1">
      <alignment horizontal="center" vertical="center"/>
    </xf>
    <xf numFmtId="0" fontId="5" fillId="0" borderId="0" xfId="0" applyFont="1" applyAlignment="1">
      <alignment horizontal="center" vertical="center"/>
    </xf>
    <xf numFmtId="3" fontId="3" fillId="6" borderId="0" xfId="0" applyNumberFormat="1" applyFont="1" applyFill="1" applyBorder="1" applyAlignment="1">
      <alignment horizontal="center" vertical="center" wrapText="1"/>
    </xf>
    <xf numFmtId="3" fontId="10" fillId="0" borderId="0" xfId="0" applyNumberFormat="1" applyFont="1" applyFill="1" applyBorder="1" applyAlignment="1">
      <alignment horizontal="center" vertical="center" wrapText="1"/>
    </xf>
    <xf numFmtId="0" fontId="13" fillId="5" borderId="0" xfId="0" applyFont="1" applyFill="1" applyAlignment="1">
      <alignment horizontal="center" vertical="center"/>
    </xf>
    <xf numFmtId="0" fontId="2" fillId="3" borderId="0" xfId="0" applyFont="1" applyFill="1" applyAlignment="1">
      <alignment horizontal="center" vertical="center"/>
    </xf>
    <xf numFmtId="0" fontId="11" fillId="3" borderId="0" xfId="0" applyFont="1" applyFill="1" applyAlignment="1">
      <alignment horizontal="center" vertical="center"/>
    </xf>
    <xf numFmtId="0" fontId="5" fillId="0" borderId="0" xfId="0" applyFont="1" applyFill="1" applyBorder="1" applyAlignment="1">
      <alignment horizontal="left" vertical="center" wrapText="1"/>
    </xf>
    <xf numFmtId="0" fontId="5" fillId="0" borderId="0" xfId="0" applyFont="1" applyBorder="1" applyAlignment="1">
      <alignment horizontal="center" vertical="center"/>
    </xf>
    <xf numFmtId="3" fontId="5" fillId="0" borderId="0" xfId="0" applyNumberFormat="1" applyFont="1" applyFill="1" applyBorder="1" applyAlignment="1">
      <alignment horizontal="center" vertical="center"/>
    </xf>
    <xf numFmtId="3" fontId="5" fillId="10" borderId="5" xfId="0" applyNumberFormat="1" applyFont="1" applyFill="1" applyBorder="1" applyAlignment="1">
      <alignment horizontal="center" vertical="center"/>
    </xf>
    <xf numFmtId="0" fontId="5" fillId="10" borderId="5" xfId="0" applyFont="1" applyFill="1" applyBorder="1" applyAlignment="1">
      <alignment horizontal="center" vertical="center"/>
    </xf>
    <xf numFmtId="0" fontId="5" fillId="10" borderId="6" xfId="0" applyFont="1" applyFill="1" applyBorder="1" applyAlignment="1">
      <alignment horizontal="center" vertical="center"/>
    </xf>
    <xf numFmtId="0" fontId="3" fillId="10" borderId="5" xfId="0" applyFont="1" applyFill="1" applyBorder="1" applyAlignment="1">
      <alignment vertical="center" wrapText="1"/>
    </xf>
    <xf numFmtId="3" fontId="3" fillId="10" borderId="5" xfId="6" applyNumberFormat="1" applyFont="1" applyFill="1" applyBorder="1" applyAlignment="1">
      <alignment horizontal="center" vertical="center"/>
    </xf>
    <xf numFmtId="0" fontId="5" fillId="0" borderId="9" xfId="0" applyFont="1" applyFill="1" applyBorder="1" applyAlignment="1">
      <alignment horizontal="center" vertical="center"/>
    </xf>
    <xf numFmtId="0" fontId="5" fillId="0" borderId="10" xfId="0" applyFont="1" applyFill="1" applyBorder="1" applyAlignment="1">
      <alignment horizontal="left" vertical="center" wrapText="1"/>
    </xf>
    <xf numFmtId="49" fontId="5" fillId="0" borderId="10" xfId="0" applyNumberFormat="1" applyFont="1" applyFill="1" applyBorder="1" applyAlignment="1">
      <alignment vertical="center" wrapText="1"/>
    </xf>
    <xf numFmtId="3" fontId="5" fillId="0" borderId="10" xfId="0" applyNumberFormat="1" applyFont="1" applyFill="1" applyBorder="1" applyAlignment="1">
      <alignment horizontal="center" vertical="center"/>
    </xf>
    <xf numFmtId="166" fontId="5" fillId="0" borderId="10" xfId="0" applyNumberFormat="1" applyFont="1" applyFill="1" applyBorder="1" applyAlignment="1">
      <alignment horizontal="center" vertical="center"/>
    </xf>
    <xf numFmtId="0" fontId="5" fillId="0" borderId="11" xfId="0" applyFont="1" applyFill="1" applyBorder="1" applyAlignment="1">
      <alignment horizontal="center" vertical="center"/>
    </xf>
    <xf numFmtId="49" fontId="5" fillId="0" borderId="2" xfId="0" applyNumberFormat="1" applyFont="1" applyFill="1" applyBorder="1" applyAlignment="1">
      <alignment vertical="center" wrapText="1"/>
    </xf>
    <xf numFmtId="3" fontId="5" fillId="0" borderId="2" xfId="0" applyNumberFormat="1" applyFont="1" applyFill="1" applyBorder="1" applyAlignment="1">
      <alignment horizontal="center" vertical="center"/>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49" fontId="5" fillId="0" borderId="5" xfId="0" applyNumberFormat="1" applyFont="1" applyFill="1" applyBorder="1" applyAlignment="1">
      <alignment vertical="center" wrapText="1"/>
    </xf>
    <xf numFmtId="3" fontId="5" fillId="0"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6" xfId="0" applyFont="1" applyFill="1" applyBorder="1" applyAlignment="1">
      <alignment horizontal="center" vertical="center"/>
    </xf>
    <xf numFmtId="0" fontId="5" fillId="0" borderId="10" xfId="0" applyFont="1" applyFill="1" applyBorder="1" applyAlignment="1">
      <alignment vertical="center" wrapText="1"/>
    </xf>
    <xf numFmtId="0" fontId="5" fillId="0" borderId="8" xfId="0" applyFont="1" applyFill="1" applyBorder="1" applyAlignment="1">
      <alignment horizontal="center" vertical="center"/>
    </xf>
    <xf numFmtId="0" fontId="7" fillId="0" borderId="9" xfId="0" applyFont="1" applyFill="1" applyBorder="1" applyAlignment="1">
      <alignment horizontal="center" vertical="center"/>
    </xf>
    <xf numFmtId="0" fontId="7" fillId="0" borderId="10" xfId="0" applyFont="1" applyFill="1" applyBorder="1" applyAlignment="1">
      <alignment vertical="center" wrapText="1"/>
    </xf>
    <xf numFmtId="49" fontId="3" fillId="10" borderId="2" xfId="0" applyNumberFormat="1" applyFont="1" applyFill="1" applyBorder="1" applyAlignment="1">
      <alignment vertical="center" wrapText="1"/>
    </xf>
    <xf numFmtId="49" fontId="3" fillId="10" borderId="5" xfId="0" applyNumberFormat="1" applyFont="1" applyFill="1" applyBorder="1" applyAlignment="1">
      <alignment vertical="center" wrapText="1"/>
    </xf>
    <xf numFmtId="3" fontId="5" fillId="0" borderId="2" xfId="0" applyNumberFormat="1" applyFont="1" applyBorder="1" applyAlignment="1">
      <alignment horizontal="center" vertical="center"/>
    </xf>
    <xf numFmtId="0" fontId="5" fillId="0" borderId="2" xfId="0" applyFont="1" applyBorder="1" applyAlignment="1">
      <alignment horizontal="center" vertical="center"/>
    </xf>
    <xf numFmtId="3" fontId="5" fillId="0" borderId="0" xfId="0" applyNumberFormat="1" applyFont="1" applyBorder="1" applyAlignment="1">
      <alignment horizontal="center" vertical="center"/>
    </xf>
    <xf numFmtId="3" fontId="5" fillId="0" borderId="5" xfId="0" applyNumberFormat="1" applyFont="1" applyBorder="1" applyAlignment="1">
      <alignment horizontal="center" vertical="center"/>
    </xf>
    <xf numFmtId="0" fontId="5" fillId="0" borderId="5" xfId="0" applyFont="1" applyBorder="1" applyAlignment="1">
      <alignment horizontal="center" vertical="center"/>
    </xf>
    <xf numFmtId="0" fontId="5" fillId="0" borderId="3" xfId="0" applyFont="1" applyBorder="1" applyAlignment="1">
      <alignment horizontal="center" vertical="center"/>
    </xf>
    <xf numFmtId="0" fontId="5" fillId="0" borderId="5" xfId="0" applyFont="1" applyFill="1" applyBorder="1" applyAlignment="1">
      <alignment horizontal="left" vertical="center" wrapText="1"/>
    </xf>
    <xf numFmtId="0" fontId="5" fillId="0" borderId="6" xfId="0" applyFont="1" applyBorder="1" applyAlignment="1">
      <alignment horizontal="center" vertical="center"/>
    </xf>
    <xf numFmtId="0" fontId="7" fillId="10" borderId="9" xfId="0" applyFont="1" applyFill="1" applyBorder="1" applyAlignment="1">
      <alignment horizontal="center" vertical="center"/>
    </xf>
    <xf numFmtId="0" fontId="7" fillId="10" borderId="10" xfId="0" applyFont="1" applyFill="1" applyBorder="1" applyAlignment="1">
      <alignment vertical="center" wrapText="1"/>
    </xf>
    <xf numFmtId="49" fontId="7" fillId="10" borderId="10" xfId="0" applyNumberFormat="1" applyFont="1" applyFill="1" applyBorder="1" applyAlignment="1">
      <alignment vertical="center" wrapText="1"/>
    </xf>
    <xf numFmtId="3" fontId="5" fillId="10" borderId="10" xfId="0" applyNumberFormat="1" applyFont="1" applyFill="1" applyBorder="1" applyAlignment="1">
      <alignment horizontal="center" vertical="center"/>
    </xf>
    <xf numFmtId="0" fontId="5" fillId="10" borderId="10" xfId="0" applyFont="1" applyFill="1" applyBorder="1" applyAlignment="1">
      <alignment horizontal="center" vertical="center"/>
    </xf>
    <xf numFmtId="0" fontId="5" fillId="10" borderId="11" xfId="0" applyFont="1" applyFill="1" applyBorder="1" applyAlignment="1">
      <alignment horizontal="center" vertical="center"/>
    </xf>
    <xf numFmtId="49" fontId="3" fillId="0" borderId="2" xfId="0" applyNumberFormat="1" applyFont="1" applyFill="1" applyBorder="1" applyAlignment="1">
      <alignment vertical="center" wrapText="1"/>
    </xf>
    <xf numFmtId="0" fontId="15" fillId="0" borderId="2" xfId="0" applyFont="1" applyFill="1" applyBorder="1" applyAlignment="1">
      <alignment horizontal="center" vertical="center"/>
    </xf>
    <xf numFmtId="165" fontId="5" fillId="0" borderId="2" xfId="1" applyNumberFormat="1" applyFont="1" applyFill="1" applyBorder="1" applyAlignment="1">
      <alignment horizontal="center" vertical="center"/>
    </xf>
    <xf numFmtId="165" fontId="15" fillId="0" borderId="2" xfId="0" applyNumberFormat="1" applyFont="1" applyFill="1" applyBorder="1" applyAlignment="1">
      <alignment horizontal="center" vertical="center"/>
    </xf>
    <xf numFmtId="49" fontId="5" fillId="6" borderId="2" xfId="0" applyNumberFormat="1" applyFont="1" applyFill="1" applyBorder="1" applyAlignment="1">
      <alignment vertical="center" wrapText="1"/>
    </xf>
    <xf numFmtId="3" fontId="3" fillId="6" borderId="2" xfId="0" applyNumberFormat="1" applyFont="1" applyFill="1" applyBorder="1" applyAlignment="1">
      <alignment horizontal="center" vertical="center" wrapText="1"/>
    </xf>
    <xf numFmtId="0" fontId="5" fillId="6" borderId="2" xfId="0" applyFont="1" applyFill="1" applyBorder="1" applyAlignment="1">
      <alignment horizontal="center" vertical="center"/>
    </xf>
    <xf numFmtId="0" fontId="5" fillId="6" borderId="3" xfId="0" applyFont="1" applyFill="1" applyBorder="1" applyAlignment="1">
      <alignment horizontal="center" vertical="center"/>
    </xf>
    <xf numFmtId="0" fontId="5" fillId="0" borderId="8" xfId="0" applyFont="1" applyBorder="1" applyAlignment="1">
      <alignment horizontal="center" vertical="center"/>
    </xf>
    <xf numFmtId="0" fontId="5" fillId="6" borderId="0" xfId="0" applyFont="1" applyFill="1" applyBorder="1" applyAlignment="1">
      <alignment horizontal="center" vertical="center"/>
    </xf>
    <xf numFmtId="0" fontId="5" fillId="6" borderId="8" xfId="0" applyFont="1" applyFill="1" applyBorder="1" applyAlignment="1">
      <alignment horizontal="center" vertical="center"/>
    </xf>
    <xf numFmtId="49" fontId="5" fillId="6" borderId="5" xfId="0" applyNumberFormat="1" applyFont="1" applyFill="1" applyBorder="1" applyAlignment="1">
      <alignment vertical="center" wrapText="1"/>
    </xf>
    <xf numFmtId="3" fontId="3" fillId="6" borderId="5" xfId="0" applyNumberFormat="1" applyFont="1" applyFill="1" applyBorder="1" applyAlignment="1">
      <alignment horizontal="center" vertical="center" wrapText="1"/>
    </xf>
    <xf numFmtId="0" fontId="5" fillId="6" borderId="5" xfId="0" applyFont="1" applyFill="1" applyBorder="1" applyAlignment="1">
      <alignment horizontal="center" vertical="center"/>
    </xf>
    <xf numFmtId="0" fontId="5" fillId="6" borderId="6"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10" xfId="0" applyFont="1" applyFill="1" applyBorder="1" applyAlignment="1">
      <alignment vertical="center" wrapText="1"/>
    </xf>
    <xf numFmtId="3" fontId="3" fillId="0" borderId="10" xfId="0" applyNumberFormat="1" applyFont="1" applyBorder="1" applyAlignment="1">
      <alignment horizontal="center" vertical="center"/>
    </xf>
    <xf numFmtId="0" fontId="5" fillId="0" borderId="10" xfId="0" applyFont="1" applyBorder="1" applyAlignment="1">
      <alignment horizontal="center" vertical="center"/>
    </xf>
    <xf numFmtId="0" fontId="3" fillId="0" borderId="11" xfId="0" applyFont="1" applyBorder="1" applyAlignment="1">
      <alignment horizontal="center" vertical="center"/>
    </xf>
    <xf numFmtId="0" fontId="5" fillId="6" borderId="10" xfId="0" applyFont="1" applyFill="1" applyBorder="1" applyAlignment="1">
      <alignment horizontal="left" vertical="center"/>
    </xf>
    <xf numFmtId="3" fontId="5" fillId="6" borderId="10" xfId="0" applyNumberFormat="1"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vertical="center" wrapText="1"/>
    </xf>
    <xf numFmtId="0" fontId="5" fillId="0" borderId="9" xfId="0" applyFont="1" applyBorder="1" applyAlignment="1">
      <alignment horizontal="center" vertical="center"/>
    </xf>
    <xf numFmtId="0" fontId="5" fillId="0" borderId="10" xfId="0" applyFont="1" applyBorder="1" applyAlignment="1">
      <alignment horizontal="left" vertical="center" wrapText="1"/>
    </xf>
    <xf numFmtId="49" fontId="5" fillId="0" borderId="10" xfId="0" applyNumberFormat="1" applyFont="1" applyBorder="1" applyAlignment="1">
      <alignment horizontal="left" vertical="center" wrapText="1"/>
    </xf>
    <xf numFmtId="3" fontId="5" fillId="0" borderId="10" xfId="0" applyNumberFormat="1" applyFont="1" applyBorder="1" applyAlignment="1">
      <alignment horizontal="center" vertical="center"/>
    </xf>
    <xf numFmtId="0" fontId="5" fillId="0" borderId="11" xfId="0" applyFont="1" applyBorder="1" applyAlignment="1">
      <alignment horizontal="center" vertical="center"/>
    </xf>
    <xf numFmtId="49" fontId="5" fillId="0" borderId="2" xfId="0" applyNumberFormat="1" applyFont="1" applyFill="1" applyBorder="1" applyAlignment="1">
      <alignment horizontal="left" vertical="center" wrapText="1"/>
    </xf>
    <xf numFmtId="49" fontId="14" fillId="0" borderId="5" xfId="0" applyNumberFormat="1" applyFont="1" applyFill="1" applyBorder="1" applyAlignment="1">
      <alignment horizontal="left" vertical="center" wrapText="1"/>
    </xf>
    <xf numFmtId="0" fontId="3" fillId="0" borderId="10" xfId="0" applyFont="1" applyFill="1" applyBorder="1" applyAlignment="1">
      <alignment horizontal="left" vertical="center" wrapText="1" readingOrder="1"/>
    </xf>
    <xf numFmtId="0" fontId="3" fillId="0" borderId="10" xfId="0" applyFont="1" applyFill="1" applyBorder="1" applyAlignment="1">
      <alignment horizontal="left" vertical="center" wrapText="1"/>
    </xf>
    <xf numFmtId="49" fontId="3" fillId="0" borderId="10" xfId="0" applyNumberFormat="1" applyFont="1" applyFill="1" applyBorder="1" applyAlignment="1">
      <alignment vertical="center" wrapText="1"/>
    </xf>
    <xf numFmtId="3" fontId="3" fillId="0" borderId="10" xfId="0" applyNumberFormat="1" applyFont="1" applyFill="1" applyBorder="1" applyAlignment="1">
      <alignment horizontal="center" vertical="center"/>
    </xf>
    <xf numFmtId="0" fontId="3" fillId="0" borderId="11" xfId="0" applyFont="1" applyFill="1" applyBorder="1" applyAlignment="1">
      <alignment horizontal="center" vertical="center"/>
    </xf>
    <xf numFmtId="0" fontId="3" fillId="0" borderId="2" xfId="0" applyFont="1" applyBorder="1" applyAlignment="1">
      <alignment horizontal="left" vertical="center" wrapText="1" readingOrder="1"/>
    </xf>
    <xf numFmtId="3" fontId="10" fillId="0" borderId="2" xfId="0" applyNumberFormat="1" applyFont="1" applyFill="1" applyBorder="1" applyAlignment="1">
      <alignment horizontal="center" vertical="center" wrapText="1"/>
    </xf>
    <xf numFmtId="0" fontId="3" fillId="0" borderId="5" xfId="0" applyFont="1" applyBorder="1" applyAlignment="1">
      <alignment horizontal="left" vertical="center" wrapText="1" readingOrder="1"/>
    </xf>
    <xf numFmtId="3" fontId="10" fillId="0" borderId="5" xfId="0" applyNumberFormat="1" applyFont="1" applyFill="1" applyBorder="1" applyAlignment="1">
      <alignment horizontal="center" vertical="center" wrapText="1"/>
    </xf>
    <xf numFmtId="0" fontId="5" fillId="10" borderId="9" xfId="0" applyFont="1" applyFill="1" applyBorder="1" applyAlignment="1">
      <alignment horizontal="center" vertical="center"/>
    </xf>
    <xf numFmtId="0" fontId="5" fillId="10" borderId="10" xfId="0" applyFont="1" applyFill="1" applyBorder="1" applyAlignment="1">
      <alignment vertical="center" wrapText="1"/>
    </xf>
    <xf numFmtId="49" fontId="5" fillId="10" borderId="10" xfId="0" applyNumberFormat="1" applyFont="1" applyFill="1" applyBorder="1" applyAlignment="1">
      <alignment vertical="center" wrapText="1"/>
    </xf>
    <xf numFmtId="0" fontId="3" fillId="10" borderId="0" xfId="0" applyFont="1" applyFill="1" applyBorder="1" applyAlignment="1">
      <alignment vertical="center"/>
    </xf>
    <xf numFmtId="0" fontId="3" fillId="10" borderId="5" xfId="0" applyFont="1" applyFill="1" applyBorder="1" applyAlignment="1">
      <alignment vertical="center"/>
    </xf>
    <xf numFmtId="3" fontId="5" fillId="0" borderId="10" xfId="1" applyNumberFormat="1" applyFont="1" applyBorder="1" applyAlignment="1">
      <alignment horizontal="center" vertical="center"/>
    </xf>
    <xf numFmtId="49" fontId="7" fillId="0" borderId="10" xfId="0" applyNumberFormat="1" applyFont="1" applyBorder="1" applyAlignment="1">
      <alignment vertical="center" wrapText="1"/>
    </xf>
    <xf numFmtId="0" fontId="5" fillId="0" borderId="10" xfId="0" applyFont="1" applyBorder="1" applyAlignment="1">
      <alignment vertical="center" wrapText="1"/>
    </xf>
    <xf numFmtId="49" fontId="3" fillId="0" borderId="2" xfId="0" applyNumberFormat="1" applyFont="1" applyBorder="1" applyAlignment="1">
      <alignment vertical="center" wrapText="1"/>
    </xf>
    <xf numFmtId="49" fontId="3" fillId="0" borderId="0" xfId="0" applyNumberFormat="1" applyFont="1" applyBorder="1" applyAlignment="1">
      <alignment vertical="center" wrapText="1"/>
    </xf>
    <xf numFmtId="49" fontId="3" fillId="0" borderId="5" xfId="0" applyNumberFormat="1" applyFont="1" applyBorder="1" applyAlignment="1">
      <alignment vertical="center" wrapText="1"/>
    </xf>
    <xf numFmtId="49" fontId="5" fillId="0" borderId="2" xfId="0" applyNumberFormat="1" applyFont="1" applyBorder="1" applyAlignment="1">
      <alignment vertical="center" wrapText="1"/>
    </xf>
    <xf numFmtId="0" fontId="7" fillId="0" borderId="10" xfId="0" applyFont="1" applyBorder="1" applyAlignment="1">
      <alignment horizontal="left" vertical="center" wrapText="1"/>
    </xf>
    <xf numFmtId="3" fontId="5" fillId="0" borderId="11" xfId="0" applyNumberFormat="1" applyFont="1" applyFill="1" applyBorder="1" applyAlignment="1">
      <alignment horizontal="center" vertical="center"/>
    </xf>
    <xf numFmtId="3" fontId="5" fillId="0" borderId="11" xfId="0" applyNumberFormat="1" applyFont="1" applyBorder="1" applyAlignment="1">
      <alignment horizontal="center" vertical="center"/>
    </xf>
    <xf numFmtId="49" fontId="5" fillId="0" borderId="2" xfId="0" applyNumberFormat="1" applyFont="1" applyBorder="1" applyAlignment="1">
      <alignment horizontal="left" vertical="center" wrapText="1"/>
    </xf>
    <xf numFmtId="3" fontId="5" fillId="0" borderId="3" xfId="0" applyNumberFormat="1" applyFont="1" applyBorder="1" applyAlignment="1">
      <alignment horizontal="center" vertical="center"/>
    </xf>
    <xf numFmtId="49" fontId="5" fillId="0" borderId="5" xfId="0" applyNumberFormat="1" applyFont="1" applyBorder="1" applyAlignment="1">
      <alignment horizontal="left" vertical="center" wrapText="1"/>
    </xf>
    <xf numFmtId="3" fontId="5" fillId="0" borderId="6" xfId="0" applyNumberFormat="1" applyFont="1" applyBorder="1" applyAlignment="1">
      <alignment horizontal="center" vertical="center"/>
    </xf>
    <xf numFmtId="0" fontId="6" fillId="0" borderId="0" xfId="0" applyFont="1" applyAlignment="1">
      <alignment wrapText="1"/>
    </xf>
    <xf numFmtId="0" fontId="8" fillId="0" borderId="0" xfId="0" applyFont="1" applyFill="1" applyAlignment="1">
      <alignment wrapText="1"/>
    </xf>
    <xf numFmtId="0" fontId="20" fillId="5" borderId="0" xfId="0" applyFont="1" applyFill="1" applyAlignment="1">
      <alignment wrapText="1"/>
    </xf>
    <xf numFmtId="0" fontId="21" fillId="3" borderId="0" xfId="0" applyFont="1" applyFill="1" applyAlignment="1">
      <alignment wrapText="1"/>
    </xf>
    <xf numFmtId="0" fontId="21" fillId="2" borderId="0" xfId="0" applyFont="1" applyFill="1" applyAlignment="1">
      <alignment wrapText="1"/>
    </xf>
    <xf numFmtId="0" fontId="8" fillId="0" borderId="0" xfId="0" applyFont="1" applyAlignment="1">
      <alignment vertical="center" wrapText="1"/>
    </xf>
    <xf numFmtId="0" fontId="15" fillId="0" borderId="0" xfId="0" applyFont="1" applyAlignment="1">
      <alignment wrapText="1"/>
    </xf>
    <xf numFmtId="0" fontId="15" fillId="0" borderId="0" xfId="0" applyFont="1" applyFill="1" applyAlignment="1">
      <alignment wrapText="1"/>
    </xf>
    <xf numFmtId="0" fontId="22" fillId="0" borderId="0" xfId="0" applyFont="1" applyFill="1" applyAlignment="1">
      <alignment wrapText="1"/>
    </xf>
    <xf numFmtId="0" fontId="23" fillId="3" borderId="0" xfId="0" applyFont="1" applyFill="1" applyAlignment="1">
      <alignment wrapText="1"/>
    </xf>
    <xf numFmtId="0" fontId="23" fillId="0" borderId="0" xfId="0" applyFont="1" applyAlignment="1">
      <alignment wrapText="1"/>
    </xf>
    <xf numFmtId="0" fontId="15" fillId="3" borderId="0" xfId="0" applyFont="1" applyFill="1" applyAlignment="1">
      <alignment wrapText="1"/>
    </xf>
    <xf numFmtId="0" fontId="6" fillId="0" borderId="0" xfId="0" applyFont="1" applyAlignment="1">
      <alignment vertical="center"/>
    </xf>
    <xf numFmtId="0" fontId="25" fillId="5" borderId="0" xfId="0" applyFont="1" applyFill="1"/>
    <xf numFmtId="0" fontId="26" fillId="3" borderId="0" xfId="0" applyFont="1" applyFill="1"/>
    <xf numFmtId="0" fontId="26" fillId="2" borderId="0" xfId="0" applyFont="1" applyFill="1"/>
    <xf numFmtId="0" fontId="26" fillId="0" borderId="0" xfId="0" applyFont="1" applyAlignment="1">
      <alignment vertical="center" wrapText="1"/>
    </xf>
    <xf numFmtId="0" fontId="24" fillId="0" borderId="0" xfId="0" applyFont="1"/>
    <xf numFmtId="0" fontId="27" fillId="0" borderId="0" xfId="0" applyFont="1"/>
    <xf numFmtId="0" fontId="24" fillId="0" borderId="0" xfId="0" applyFont="1" applyFill="1"/>
    <xf numFmtId="0" fontId="26" fillId="0" borderId="0" xfId="0" applyFont="1" applyFill="1"/>
    <xf numFmtId="0" fontId="28" fillId="3" borderId="0" xfId="0" applyFont="1" applyFill="1"/>
    <xf numFmtId="0" fontId="28" fillId="0" borderId="0" xfId="0" applyFont="1"/>
    <xf numFmtId="0" fontId="24" fillId="3" borderId="0" xfId="0" applyFont="1" applyFill="1"/>
    <xf numFmtId="0" fontId="7" fillId="0" borderId="0" xfId="0" applyFont="1" applyAlignment="1">
      <alignment horizontal="left" vertical="center"/>
    </xf>
    <xf numFmtId="49" fontId="7" fillId="0" borderId="0" xfId="0" applyNumberFormat="1" applyFont="1" applyAlignment="1">
      <alignment horizontal="left" vertical="center"/>
    </xf>
    <xf numFmtId="49" fontId="7" fillId="0" borderId="0" xfId="0" applyNumberFormat="1" applyFont="1" applyAlignment="1">
      <alignment wrapText="1"/>
    </xf>
    <xf numFmtId="0" fontId="29" fillId="10" borderId="0" xfId="0" applyFont="1" applyFill="1" applyAlignment="1">
      <alignment horizontal="left" vertical="center" wrapText="1"/>
    </xf>
    <xf numFmtId="0" fontId="7" fillId="10" borderId="2" xfId="0" applyFont="1" applyFill="1" applyBorder="1" applyAlignment="1">
      <alignment vertical="center" wrapText="1"/>
    </xf>
    <xf numFmtId="49" fontId="7" fillId="10" borderId="0" xfId="0" applyNumberFormat="1" applyFont="1" applyFill="1" applyAlignment="1">
      <alignment wrapText="1"/>
    </xf>
    <xf numFmtId="49" fontId="7" fillId="10" borderId="0" xfId="0" applyNumberFormat="1" applyFont="1" applyFill="1" applyAlignment="1">
      <alignment horizontal="left" wrapText="1"/>
    </xf>
    <xf numFmtId="0" fontId="7" fillId="11" borderId="10" xfId="0" applyFont="1" applyFill="1" applyBorder="1" applyAlignment="1">
      <alignment vertical="center" wrapText="1"/>
    </xf>
    <xf numFmtId="0" fontId="29" fillId="0" borderId="0" xfId="0" applyFont="1" applyAlignment="1">
      <alignment horizontal="left" vertical="center" wrapText="1"/>
    </xf>
    <xf numFmtId="0" fontId="27" fillId="0" borderId="0" xfId="0" applyFont="1" applyAlignment="1">
      <alignment wrapText="1"/>
    </xf>
    <xf numFmtId="9" fontId="24" fillId="0" borderId="0" xfId="0" applyNumberFormat="1" applyFont="1"/>
    <xf numFmtId="164" fontId="24" fillId="0" borderId="0" xfId="1" applyFont="1"/>
    <xf numFmtId="2" fontId="24" fillId="0" borderId="0" xfId="54" applyNumberFormat="1" applyFont="1"/>
    <xf numFmtId="10" fontId="24" fillId="0" borderId="0" xfId="0" applyNumberFormat="1" applyFont="1"/>
    <xf numFmtId="0" fontId="3" fillId="0" borderId="5" xfId="7" applyFont="1" applyFill="1" applyBorder="1" applyAlignment="1">
      <alignment horizontal="center" vertical="center"/>
    </xf>
    <xf numFmtId="3" fontId="30" fillId="9" borderId="10" xfId="7" applyNumberFormat="1" applyFont="1" applyBorder="1" applyAlignment="1">
      <alignment horizontal="center" vertical="center"/>
    </xf>
    <xf numFmtId="0" fontId="30" fillId="9" borderId="2" xfId="7" applyFont="1" applyBorder="1" applyAlignment="1">
      <alignment horizontal="center" vertical="center"/>
    </xf>
    <xf numFmtId="3" fontId="5" fillId="10" borderId="6" xfId="0" applyNumberFormat="1" applyFont="1" applyFill="1" applyBorder="1" applyAlignment="1">
      <alignment horizontal="center" vertical="center" wrapText="1"/>
    </xf>
    <xf numFmtId="3" fontId="5" fillId="10" borderId="0" xfId="0" applyNumberFormat="1" applyFont="1" applyFill="1" applyAlignment="1">
      <alignment horizontal="center" vertical="center" wrapText="1"/>
    </xf>
    <xf numFmtId="3" fontId="0" fillId="10" borderId="5" xfId="0" applyNumberFormat="1" applyFill="1" applyBorder="1" applyAlignment="1">
      <alignment horizontal="center" vertical="center" wrapText="1"/>
    </xf>
    <xf numFmtId="3" fontId="5" fillId="10" borderId="10" xfId="0" applyNumberFormat="1" applyFont="1" applyFill="1" applyBorder="1" applyAlignment="1">
      <alignment horizontal="center" vertical="center" wrapText="1"/>
    </xf>
    <xf numFmtId="0" fontId="5" fillId="10" borderId="11" xfId="0" applyFont="1" applyFill="1" applyBorder="1" applyAlignment="1">
      <alignment horizontal="center" vertical="center" wrapText="1"/>
    </xf>
    <xf numFmtId="0" fontId="7" fillId="10" borderId="0" xfId="0" applyFont="1" applyFill="1" applyAlignment="1">
      <alignment horizontal="left" vertical="center" wrapText="1"/>
    </xf>
    <xf numFmtId="165" fontId="5" fillId="10" borderId="10" xfId="1" applyNumberFormat="1" applyFont="1" applyFill="1" applyBorder="1" applyAlignment="1">
      <alignment horizontal="center" vertical="center"/>
    </xf>
    <xf numFmtId="1" fontId="3" fillId="0" borderId="5" xfId="7" applyNumberFormat="1" applyFont="1" applyFill="1" applyBorder="1" applyAlignment="1">
      <alignment horizontal="center" vertical="center"/>
    </xf>
    <xf numFmtId="0" fontId="3" fillId="0" borderId="10" xfId="7" applyFont="1" applyFill="1" applyBorder="1" applyAlignment="1">
      <alignment horizontal="center" vertical="center"/>
    </xf>
    <xf numFmtId="0" fontId="3" fillId="0" borderId="2" xfId="7" applyFont="1" applyFill="1" applyBorder="1" applyAlignment="1">
      <alignment horizontal="center" vertical="center"/>
    </xf>
    <xf numFmtId="3" fontId="3" fillId="0" borderId="2" xfId="7" applyNumberFormat="1" applyFont="1" applyFill="1" applyBorder="1" applyAlignment="1">
      <alignment horizontal="center" vertical="center"/>
    </xf>
    <xf numFmtId="3" fontId="15" fillId="0" borderId="0" xfId="0" applyNumberFormat="1" applyFont="1" applyAlignment="1">
      <alignment wrapText="1"/>
    </xf>
    <xf numFmtId="0" fontId="20" fillId="0" borderId="0" xfId="0" applyFont="1" applyAlignment="1">
      <alignment wrapText="1"/>
    </xf>
    <xf numFmtId="3" fontId="7" fillId="0" borderId="10" xfId="0" applyNumberFormat="1" applyFont="1" applyBorder="1" applyAlignment="1">
      <alignment horizontal="center" vertical="center"/>
    </xf>
    <xf numFmtId="3" fontId="7" fillId="0" borderId="11" xfId="0" applyNumberFormat="1" applyFont="1" applyBorder="1" applyAlignment="1">
      <alignment horizontal="center" vertical="center"/>
    </xf>
    <xf numFmtId="0" fontId="7" fillId="10" borderId="5" xfId="0" applyFont="1" applyFill="1" applyBorder="1" applyAlignment="1">
      <alignment horizontal="center" vertical="center"/>
    </xf>
    <xf numFmtId="0" fontId="7" fillId="10" borderId="6" xfId="0" applyFont="1" applyFill="1" applyBorder="1" applyAlignment="1">
      <alignment horizontal="center" vertical="center"/>
    </xf>
    <xf numFmtId="0" fontId="7" fillId="10" borderId="2" xfId="0" applyFont="1" applyFill="1" applyBorder="1" applyAlignment="1">
      <alignment horizontal="center" vertical="center"/>
    </xf>
    <xf numFmtId="0" fontId="7" fillId="10" borderId="3" xfId="0" applyFont="1" applyFill="1" applyBorder="1" applyAlignment="1">
      <alignment horizontal="center" vertical="center"/>
    </xf>
    <xf numFmtId="3" fontId="7" fillId="10" borderId="2" xfId="0" applyNumberFormat="1" applyFont="1" applyFill="1" applyBorder="1" applyAlignment="1">
      <alignment horizontal="center" vertical="center"/>
    </xf>
    <xf numFmtId="3" fontId="7" fillId="10" borderId="3" xfId="0" applyNumberFormat="1" applyFont="1" applyFill="1" applyBorder="1" applyAlignment="1">
      <alignment horizontal="center" vertical="center"/>
    </xf>
    <xf numFmtId="0" fontId="7" fillId="11" borderId="10" xfId="0" applyFont="1" applyFill="1" applyBorder="1" applyAlignment="1">
      <alignment horizontal="center" vertical="center"/>
    </xf>
    <xf numFmtId="0" fontId="7" fillId="11" borderId="11" xfId="0" applyFont="1" applyFill="1" applyBorder="1" applyAlignment="1">
      <alignment horizontal="center" vertical="center"/>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3" fontId="5" fillId="10" borderId="0" xfId="0" applyNumberFormat="1" applyFont="1" applyFill="1" applyBorder="1" applyAlignment="1">
      <alignment horizontal="center" vertical="center"/>
    </xf>
    <xf numFmtId="3" fontId="5" fillId="10" borderId="5" xfId="0" applyNumberFormat="1" applyFont="1" applyFill="1" applyBorder="1" applyAlignment="1">
      <alignment horizontal="center" vertical="center"/>
    </xf>
    <xf numFmtId="0" fontId="5" fillId="10" borderId="0" xfId="0" applyFont="1" applyFill="1" applyBorder="1" applyAlignment="1">
      <alignment horizontal="center" vertical="center"/>
    </xf>
    <xf numFmtId="0" fontId="5" fillId="10" borderId="5" xfId="0" applyFont="1" applyFill="1" applyBorder="1" applyAlignment="1">
      <alignment horizontal="center" vertical="center"/>
    </xf>
    <xf numFmtId="0" fontId="5" fillId="10" borderId="8" xfId="0" applyFont="1" applyFill="1" applyBorder="1" applyAlignment="1">
      <alignment horizontal="center" vertical="center"/>
    </xf>
    <xf numFmtId="0" fontId="5" fillId="10" borderId="6" xfId="0" applyFont="1" applyFill="1" applyBorder="1" applyAlignment="1">
      <alignment horizontal="center" vertical="center"/>
    </xf>
    <xf numFmtId="0" fontId="2" fillId="4" borderId="0" xfId="0" applyFont="1" applyFill="1" applyAlignment="1">
      <alignment horizontal="center" vertical="center" wrapText="1"/>
    </xf>
    <xf numFmtId="49" fontId="7" fillId="0" borderId="2" xfId="0" applyNumberFormat="1" applyFont="1" applyBorder="1" applyAlignment="1">
      <alignment horizontal="center" vertical="center" wrapText="1"/>
    </xf>
    <xf numFmtId="49" fontId="7" fillId="0" borderId="3" xfId="0" applyNumberFormat="1" applyFont="1" applyBorder="1" applyAlignment="1">
      <alignment horizontal="center" vertical="center" wrapText="1"/>
    </xf>
    <xf numFmtId="49" fontId="7" fillId="0" borderId="5" xfId="0" applyNumberFormat="1" applyFont="1" applyBorder="1" applyAlignment="1">
      <alignment horizontal="center" vertical="center" wrapText="1"/>
    </xf>
    <xf numFmtId="49" fontId="7" fillId="0" borderId="6" xfId="0" applyNumberFormat="1" applyFont="1" applyBorder="1" applyAlignment="1">
      <alignment horizontal="center" vertical="center" wrapText="1"/>
    </xf>
    <xf numFmtId="0" fontId="7" fillId="0" borderId="0" xfId="0" applyFont="1" applyBorder="1" applyAlignment="1">
      <alignment horizontal="center" vertical="center" wrapText="1"/>
    </xf>
    <xf numFmtId="0" fontId="7" fillId="0" borderId="8"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3" fontId="7" fillId="0" borderId="5" xfId="0" applyNumberFormat="1" applyFont="1" applyBorder="1" applyAlignment="1">
      <alignment horizontal="center" vertical="center"/>
    </xf>
    <xf numFmtId="3" fontId="7" fillId="0" borderId="6" xfId="0" applyNumberFormat="1" applyFont="1" applyBorder="1" applyAlignment="1">
      <alignment horizontal="center" vertical="center"/>
    </xf>
    <xf numFmtId="49" fontId="7" fillId="0" borderId="0" xfId="0" applyNumberFormat="1" applyFont="1" applyFill="1" applyBorder="1" applyAlignment="1">
      <alignment horizontal="center" vertical="center" wrapText="1"/>
    </xf>
    <xf numFmtId="49" fontId="7" fillId="0" borderId="8" xfId="0" applyNumberFormat="1" applyFont="1" applyFill="1" applyBorder="1" applyAlignment="1">
      <alignment horizontal="center" vertical="center" wrapText="1"/>
    </xf>
    <xf numFmtId="49" fontId="7" fillId="0" borderId="5" xfId="0" applyNumberFormat="1" applyFont="1" applyFill="1" applyBorder="1" applyAlignment="1">
      <alignment horizontal="center" vertical="center" wrapText="1"/>
    </xf>
    <xf numFmtId="49" fontId="7" fillId="0" borderId="6" xfId="0" applyNumberFormat="1" applyFont="1" applyFill="1" applyBorder="1" applyAlignment="1">
      <alignment horizontal="center" vertical="center" wrapText="1"/>
    </xf>
    <xf numFmtId="3" fontId="5" fillId="10" borderId="2" xfId="0" applyNumberFormat="1" applyFont="1" applyFill="1" applyBorder="1" applyAlignment="1">
      <alignment horizontal="center" vertical="center" wrapText="1"/>
    </xf>
    <xf numFmtId="3" fontId="5" fillId="10" borderId="5" xfId="0" applyNumberFormat="1" applyFont="1" applyFill="1" applyBorder="1" applyAlignment="1">
      <alignment horizontal="center" vertical="center" wrapText="1"/>
    </xf>
    <xf numFmtId="1" fontId="5" fillId="10" borderId="3" xfId="0" applyNumberFormat="1" applyFont="1" applyFill="1" applyBorder="1" applyAlignment="1">
      <alignment horizontal="center" vertical="center" wrapText="1"/>
    </xf>
    <xf numFmtId="1" fontId="5" fillId="10" borderId="6"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7" xfId="0" applyFont="1" applyFill="1" applyBorder="1" applyAlignment="1">
      <alignment horizontal="center" vertical="center"/>
    </xf>
    <xf numFmtId="0" fontId="3" fillId="10" borderId="4" xfId="0" applyFont="1" applyFill="1" applyBorder="1" applyAlignment="1">
      <alignment horizontal="center" vertical="center"/>
    </xf>
    <xf numFmtId="0" fontId="3" fillId="10" borderId="2" xfId="0" applyFont="1" applyFill="1" applyBorder="1" applyAlignment="1">
      <alignment horizontal="left" vertical="center" wrapText="1"/>
    </xf>
    <xf numFmtId="0" fontId="3" fillId="10" borderId="0" xfId="0" applyFont="1" applyFill="1" applyBorder="1" applyAlignment="1">
      <alignment horizontal="left" vertical="center" wrapText="1"/>
    </xf>
    <xf numFmtId="0" fontId="3" fillId="10" borderId="5" xfId="0" applyFont="1" applyFill="1" applyBorder="1" applyAlignment="1">
      <alignment horizontal="left" vertical="center" wrapText="1"/>
    </xf>
    <xf numFmtId="0" fontId="4" fillId="4" borderId="0" xfId="0" applyFont="1" applyFill="1" applyAlignment="1">
      <alignment horizontal="center" vertical="center" textRotation="90" wrapText="1"/>
    </xf>
    <xf numFmtId="0" fontId="4" fillId="4" borderId="0" xfId="0" applyFont="1" applyFill="1" applyBorder="1" applyAlignment="1">
      <alignment horizontal="center" vertical="center" wrapText="1"/>
    </xf>
    <xf numFmtId="0" fontId="7" fillId="10" borderId="1" xfId="0" applyFont="1" applyFill="1" applyBorder="1" applyAlignment="1">
      <alignment horizontal="center" vertical="center"/>
    </xf>
    <xf numFmtId="0" fontId="7" fillId="10" borderId="7" xfId="0" applyFont="1" applyFill="1" applyBorder="1" applyAlignment="1">
      <alignment horizontal="center" vertical="center"/>
    </xf>
    <xf numFmtId="0" fontId="7" fillId="10" borderId="4" xfId="0" applyFont="1" applyFill="1" applyBorder="1" applyAlignment="1">
      <alignment horizontal="center" vertical="center"/>
    </xf>
    <xf numFmtId="0" fontId="7" fillId="10" borderId="2" xfId="0" applyFont="1" applyFill="1" applyBorder="1" applyAlignment="1">
      <alignment horizontal="left" vertical="center" wrapText="1"/>
    </xf>
    <xf numFmtId="0" fontId="7" fillId="10" borderId="0" xfId="0" applyFont="1" applyFill="1" applyBorder="1" applyAlignment="1">
      <alignment horizontal="left" vertical="center" wrapText="1"/>
    </xf>
    <xf numFmtId="0" fontId="7" fillId="10" borderId="5" xfId="0" applyFont="1" applyFill="1" applyBorder="1" applyAlignment="1">
      <alignment horizontal="left" vertical="center" wrapText="1"/>
    </xf>
    <xf numFmtId="0" fontId="3" fillId="0" borderId="1" xfId="0" applyFont="1" applyFill="1" applyBorder="1" applyAlignment="1">
      <alignment horizontal="center" vertical="center"/>
    </xf>
    <xf numFmtId="0" fontId="3" fillId="0" borderId="4"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2" xfId="0" applyFont="1" applyFill="1" applyBorder="1" applyAlignment="1">
      <alignment horizontal="left" vertical="center" wrapText="1"/>
    </xf>
    <xf numFmtId="0" fontId="5" fillId="0" borderId="5" xfId="0" applyFont="1" applyFill="1" applyBorder="1" applyAlignment="1">
      <alignment horizontal="left" vertical="center" wrapText="1"/>
    </xf>
    <xf numFmtId="0" fontId="5" fillId="0" borderId="1" xfId="0" applyFont="1" applyBorder="1" applyAlignment="1">
      <alignment horizontal="center" vertical="center"/>
    </xf>
    <xf numFmtId="0" fontId="5" fillId="0" borderId="7" xfId="0" applyFont="1" applyBorder="1" applyAlignment="1">
      <alignment horizontal="center" vertical="center"/>
    </xf>
    <xf numFmtId="0" fontId="5" fillId="0" borderId="4" xfId="0" applyFont="1" applyBorder="1" applyAlignment="1">
      <alignment horizontal="center" vertical="center"/>
    </xf>
    <xf numFmtId="0" fontId="5" fillId="0" borderId="2" xfId="0" applyFont="1" applyBorder="1" applyAlignment="1">
      <alignment horizontal="left" vertical="center" wrapText="1"/>
    </xf>
    <xf numFmtId="0" fontId="5" fillId="0" borderId="0" xfId="0" applyFont="1" applyBorder="1" applyAlignment="1">
      <alignment horizontal="left" vertical="center" wrapText="1"/>
    </xf>
    <xf numFmtId="0" fontId="5" fillId="0" borderId="5" xfId="0" applyFont="1" applyBorder="1" applyAlignment="1">
      <alignment horizontal="left" vertical="center" wrapText="1"/>
    </xf>
    <xf numFmtId="0" fontId="3" fillId="0" borderId="2" xfId="0" applyFont="1" applyFill="1" applyBorder="1" applyAlignment="1">
      <alignment horizontal="left" vertical="center" wrapText="1"/>
    </xf>
    <xf numFmtId="0" fontId="3" fillId="0" borderId="5" xfId="0" applyFont="1" applyFill="1" applyBorder="1" applyAlignment="1">
      <alignment horizontal="left" vertical="center" wrapText="1"/>
    </xf>
    <xf numFmtId="0" fontId="5" fillId="0" borderId="7" xfId="0" applyFont="1" applyFill="1" applyBorder="1" applyAlignment="1">
      <alignment horizontal="center" vertical="center"/>
    </xf>
    <xf numFmtId="0" fontId="5" fillId="10" borderId="2" xfId="0" applyFont="1" applyFill="1" applyBorder="1" applyAlignment="1">
      <alignment horizontal="left" vertical="center" wrapText="1"/>
    </xf>
    <xf numFmtId="0" fontId="5" fillId="10" borderId="0" xfId="0" applyFont="1" applyFill="1" applyBorder="1" applyAlignment="1">
      <alignment horizontal="left" vertical="center" wrapText="1"/>
    </xf>
    <xf numFmtId="0" fontId="5" fillId="10" borderId="5" xfId="0" applyFont="1" applyFill="1" applyBorder="1" applyAlignment="1">
      <alignment horizontal="left" vertical="center" wrapText="1"/>
    </xf>
    <xf numFmtId="0" fontId="7" fillId="0" borderId="1" xfId="0" applyFont="1" applyFill="1" applyBorder="1" applyAlignment="1">
      <alignment horizontal="center" vertical="center"/>
    </xf>
    <xf numFmtId="0" fontId="7" fillId="0" borderId="4" xfId="0" applyFont="1" applyFill="1" applyBorder="1" applyAlignment="1">
      <alignment horizontal="center" vertical="center"/>
    </xf>
    <xf numFmtId="0" fontId="5" fillId="0" borderId="0" xfId="0" applyFont="1" applyFill="1" applyBorder="1" applyAlignment="1">
      <alignment horizontal="left" vertical="center" wrapText="1"/>
    </xf>
    <xf numFmtId="0" fontId="3" fillId="0" borderId="7" xfId="0" applyFont="1" applyFill="1" applyBorder="1" applyAlignment="1">
      <alignment horizontal="center" vertical="center"/>
    </xf>
    <xf numFmtId="0" fontId="3" fillId="0" borderId="0" xfId="0" applyFont="1" applyFill="1" applyBorder="1" applyAlignment="1">
      <alignment horizontal="left" vertical="center" wrapText="1"/>
    </xf>
    <xf numFmtId="0" fontId="5" fillId="4" borderId="0" xfId="0" applyFont="1" applyFill="1" applyAlignment="1">
      <alignment horizontal="center" vertical="center" textRotation="90" wrapText="1"/>
    </xf>
    <xf numFmtId="49" fontId="4" fillId="4" borderId="0" xfId="0" applyNumberFormat="1" applyFont="1" applyFill="1" applyBorder="1" applyAlignment="1">
      <alignment horizontal="center" vertical="center" wrapText="1"/>
    </xf>
    <xf numFmtId="0" fontId="2" fillId="4" borderId="0" xfId="0" applyFont="1" applyFill="1" applyAlignment="1">
      <alignment horizontal="center"/>
    </xf>
    <xf numFmtId="0" fontId="5" fillId="0" borderId="3" xfId="0" applyFont="1" applyBorder="1" applyAlignment="1">
      <alignment horizontal="center" vertical="center"/>
    </xf>
    <xf numFmtId="0" fontId="5" fillId="0" borderId="8" xfId="0" applyFont="1" applyBorder="1" applyAlignment="1">
      <alignment horizontal="center" vertical="center"/>
    </xf>
    <xf numFmtId="0" fontId="5" fillId="0" borderId="6" xfId="0" applyFont="1" applyBorder="1" applyAlignment="1">
      <alignment horizontal="center" vertical="center"/>
    </xf>
    <xf numFmtId="0" fontId="7" fillId="0" borderId="1" xfId="0" applyFont="1" applyBorder="1" applyAlignment="1">
      <alignment horizontal="center" vertical="center"/>
    </xf>
    <xf numFmtId="0" fontId="7" fillId="0" borderId="4" xfId="0" applyFont="1" applyBorder="1" applyAlignment="1">
      <alignment horizontal="center" vertical="center"/>
    </xf>
    <xf numFmtId="0" fontId="7" fillId="0" borderId="2" xfId="0" applyFont="1" applyBorder="1" applyAlignment="1">
      <alignment horizontal="left" vertical="center" wrapText="1"/>
    </xf>
    <xf numFmtId="0" fontId="7" fillId="0" borderId="5" xfId="0" applyFont="1" applyBorder="1" applyAlignment="1">
      <alignment horizontal="left" vertical="center" wrapText="1"/>
    </xf>
    <xf numFmtId="0" fontId="3" fillId="0" borderId="1" xfId="0" applyFont="1" applyBorder="1" applyAlignment="1">
      <alignment horizontal="center" vertical="center"/>
    </xf>
    <xf numFmtId="0" fontId="3" fillId="0" borderId="7" xfId="0" applyFont="1" applyBorder="1" applyAlignment="1">
      <alignment horizontal="center" vertical="center"/>
    </xf>
    <xf numFmtId="0" fontId="3" fillId="0" borderId="4" xfId="0" applyFont="1" applyBorder="1" applyAlignment="1">
      <alignment horizontal="center" vertical="center"/>
    </xf>
    <xf numFmtId="0" fontId="3" fillId="0" borderId="2" xfId="0" applyFont="1" applyBorder="1" applyAlignment="1">
      <alignment horizontal="left" vertical="center" wrapText="1"/>
    </xf>
    <xf numFmtId="0" fontId="3" fillId="0" borderId="0" xfId="0" applyFont="1" applyBorder="1" applyAlignment="1">
      <alignment horizontal="left" vertical="center" wrapText="1"/>
    </xf>
    <xf numFmtId="0" fontId="3" fillId="0" borderId="5" xfId="0" applyFont="1" applyBorder="1" applyAlignment="1">
      <alignment horizontal="left" vertical="center" wrapText="1"/>
    </xf>
    <xf numFmtId="0" fontId="3" fillId="10" borderId="0" xfId="0" applyFont="1" applyFill="1" applyBorder="1" applyAlignment="1">
      <alignment vertical="center" wrapText="1"/>
    </xf>
    <xf numFmtId="0" fontId="3" fillId="10" borderId="0" xfId="0" applyFont="1" applyFill="1" applyBorder="1" applyAlignment="1">
      <alignment horizontal="center" vertical="center" wrapText="1"/>
    </xf>
    <xf numFmtId="0" fontId="29" fillId="12" borderId="0" xfId="0" applyFont="1" applyFill="1" applyAlignment="1">
      <alignment horizontal="left" vertical="center" wrapText="1"/>
    </xf>
    <xf numFmtId="0" fontId="7" fillId="12" borderId="5" xfId="0" applyFont="1" applyFill="1" applyBorder="1" applyAlignment="1">
      <alignment vertical="center" wrapText="1"/>
    </xf>
    <xf numFmtId="0" fontId="7" fillId="12" borderId="5" xfId="0" applyFont="1" applyFill="1" applyBorder="1" applyAlignment="1">
      <alignment horizontal="center" vertical="center"/>
    </xf>
    <xf numFmtId="0" fontId="7" fillId="12" borderId="6" xfId="0" applyFont="1" applyFill="1" applyBorder="1" applyAlignment="1">
      <alignment horizontal="center" vertical="center"/>
    </xf>
    <xf numFmtId="49" fontId="3" fillId="12" borderId="0" xfId="0" applyNumberFormat="1" applyFont="1" applyFill="1" applyBorder="1" applyAlignment="1">
      <alignment vertical="center" wrapText="1"/>
    </xf>
    <xf numFmtId="49" fontId="5" fillId="12" borderId="2" xfId="0" applyNumberFormat="1" applyFont="1" applyFill="1" applyBorder="1" applyAlignment="1">
      <alignment horizontal="left" vertical="center" wrapText="1"/>
    </xf>
    <xf numFmtId="3" fontId="3" fillId="12" borderId="2" xfId="6" applyNumberFormat="1" applyFont="1" applyFill="1" applyBorder="1" applyAlignment="1">
      <alignment horizontal="center" vertical="center"/>
    </xf>
    <xf numFmtId="0" fontId="5" fillId="12" borderId="2" xfId="0" applyFont="1" applyFill="1" applyBorder="1" applyAlignment="1">
      <alignment horizontal="left" vertical="center" wrapText="1"/>
    </xf>
    <xf numFmtId="3" fontId="5" fillId="12" borderId="2" xfId="0" applyNumberFormat="1" applyFont="1" applyFill="1" applyBorder="1" applyAlignment="1">
      <alignment horizontal="center" vertical="center"/>
    </xf>
    <xf numFmtId="0" fontId="5" fillId="12" borderId="3" xfId="0" applyFont="1" applyFill="1" applyBorder="1" applyAlignment="1">
      <alignment horizontal="center" vertical="center"/>
    </xf>
    <xf numFmtId="3" fontId="3" fillId="12" borderId="0" xfId="6" applyNumberFormat="1" applyFont="1" applyFill="1" applyBorder="1" applyAlignment="1">
      <alignment horizontal="center" vertical="center"/>
    </xf>
    <xf numFmtId="0" fontId="5" fillId="12" borderId="0" xfId="0" applyFont="1" applyFill="1" applyBorder="1" applyAlignment="1">
      <alignment horizontal="left" vertical="center" wrapText="1"/>
    </xf>
    <xf numFmtId="3" fontId="5" fillId="12" borderId="0" xfId="0" applyNumberFormat="1" applyFont="1" applyFill="1" applyBorder="1" applyAlignment="1">
      <alignment horizontal="center" vertical="center"/>
    </xf>
    <xf numFmtId="0" fontId="5" fillId="12" borderId="8" xfId="0" applyFont="1" applyFill="1" applyBorder="1" applyAlignment="1">
      <alignment horizontal="center" vertical="center"/>
    </xf>
    <xf numFmtId="0" fontId="3" fillId="12" borderId="1" xfId="0" applyFont="1" applyFill="1" applyBorder="1" applyAlignment="1">
      <alignment horizontal="center" vertical="center"/>
    </xf>
    <xf numFmtId="0" fontId="3" fillId="12" borderId="2" xfId="0" applyFont="1" applyFill="1" applyBorder="1" applyAlignment="1">
      <alignment horizontal="left" vertical="center" wrapText="1"/>
    </xf>
    <xf numFmtId="49" fontId="3" fillId="12" borderId="2" xfId="0" applyNumberFormat="1" applyFont="1" applyFill="1" applyBorder="1" applyAlignment="1">
      <alignment vertical="center" wrapText="1"/>
    </xf>
    <xf numFmtId="3" fontId="5" fillId="12" borderId="2" xfId="0" applyNumberFormat="1" applyFont="1" applyFill="1" applyBorder="1" applyAlignment="1">
      <alignment horizontal="center" vertical="center" wrapText="1"/>
    </xf>
    <xf numFmtId="1" fontId="5" fillId="12" borderId="3" xfId="0" applyNumberFormat="1" applyFont="1" applyFill="1" applyBorder="1" applyAlignment="1">
      <alignment horizontal="center" vertical="center" wrapText="1"/>
    </xf>
    <xf numFmtId="0" fontId="3" fillId="12" borderId="4" xfId="0" applyFont="1" applyFill="1" applyBorder="1" applyAlignment="1">
      <alignment horizontal="center" vertical="center"/>
    </xf>
    <xf numFmtId="0" fontId="3" fillId="12" borderId="5" xfId="0" applyFont="1" applyFill="1" applyBorder="1" applyAlignment="1">
      <alignment horizontal="left" vertical="center" wrapText="1"/>
    </xf>
    <xf numFmtId="49" fontId="3" fillId="12" borderId="5" xfId="0" applyNumberFormat="1" applyFont="1" applyFill="1" applyBorder="1" applyAlignment="1">
      <alignment vertical="center" wrapText="1"/>
    </xf>
    <xf numFmtId="3" fontId="5" fillId="12" borderId="5" xfId="0" applyNumberFormat="1" applyFont="1" applyFill="1" applyBorder="1" applyAlignment="1">
      <alignment horizontal="center" vertical="center" wrapText="1"/>
    </xf>
    <xf numFmtId="1" fontId="5" fillId="12" borderId="6" xfId="0" applyNumberFormat="1" applyFont="1" applyFill="1" applyBorder="1" applyAlignment="1">
      <alignment horizontal="center" vertical="center" wrapText="1"/>
    </xf>
    <xf numFmtId="0" fontId="5" fillId="12" borderId="10" xfId="0" applyFont="1" applyFill="1" applyBorder="1" applyAlignment="1">
      <alignment vertical="center" wrapText="1"/>
    </xf>
    <xf numFmtId="49" fontId="5" fillId="12" borderId="10" xfId="0" applyNumberFormat="1" applyFont="1" applyFill="1" applyBorder="1" applyAlignment="1">
      <alignment vertical="center" wrapText="1"/>
    </xf>
    <xf numFmtId="3" fontId="5" fillId="12" borderId="10" xfId="0" applyNumberFormat="1" applyFont="1" applyFill="1" applyBorder="1" applyAlignment="1">
      <alignment horizontal="center" vertical="center" wrapText="1"/>
    </xf>
    <xf numFmtId="0" fontId="5" fillId="12" borderId="11" xfId="0" applyFont="1" applyFill="1" applyBorder="1" applyAlignment="1">
      <alignment horizontal="center" vertical="center" wrapText="1"/>
    </xf>
  </cellXfs>
  <cellStyles count="56">
    <cellStyle name="Comma" xfId="1" builtinId="3"/>
    <cellStyle name="Followed Hyperlink" xfId="3" builtinId="9" hidden="1"/>
    <cellStyle name="Followed Hyperlink" xfId="5" builtinId="9" hidden="1"/>
    <cellStyle name="Followed Hyperlink" xfId="9" builtinId="9" hidden="1"/>
    <cellStyle name="Followed Hyperlink" xfId="11" builtinId="9" hidden="1"/>
    <cellStyle name="Followed Hyperlink" xfId="13"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Followed Hyperlink" xfId="45" builtinId="9" hidden="1"/>
    <cellStyle name="Followed Hyperlink" xfId="47" builtinId="9" hidden="1"/>
    <cellStyle name="Followed Hyperlink" xfId="49" builtinId="9" hidden="1"/>
    <cellStyle name="Followed Hyperlink" xfId="51" builtinId="9" hidden="1"/>
    <cellStyle name="Followed Hyperlink" xfId="53" builtinId="9" hidden="1"/>
    <cellStyle name="Hyperlink" xfId="2" builtinId="8" hidden="1"/>
    <cellStyle name="Hyperlink" xfId="4" builtinId="8" hidden="1"/>
    <cellStyle name="Hyperlink" xfId="8" builtinId="8" hidden="1"/>
    <cellStyle name="Hyperlink" xfId="10" builtinId="8" hidden="1"/>
    <cellStyle name="Hyperlink" xfId="12"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Milliers 2" xfId="55"/>
    <cellStyle name="Neutral" xfId="7" builtinId="28"/>
    <cellStyle name="Normal" xfId="0" builtinId="0"/>
    <cellStyle name="Normal 3" xfId="6"/>
    <cellStyle name="Percent" xfId="54" builtinId="5"/>
  </cellStyles>
  <dxfs count="0"/>
  <tableStyles count="0" defaultTableStyle="TableStyleMedium2" defaultPivotStyle="PivotStyleLight16"/>
  <colors>
    <mruColors>
      <color rgb="FFF2DCDB"/>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4"/>
  <sheetViews>
    <sheetView workbookViewId="0">
      <selection activeCell="C80" sqref="C80"/>
    </sheetView>
  </sheetViews>
  <sheetFormatPr defaultColWidth="11.42578125" defaultRowHeight="15" x14ac:dyDescent="0.25"/>
  <cols>
    <col min="2" max="2" width="15.42578125" customWidth="1"/>
  </cols>
  <sheetData>
    <row r="2" spans="2:3" x14ac:dyDescent="0.25">
      <c r="B2" s="28"/>
      <c r="C2" t="s">
        <v>157</v>
      </c>
    </row>
    <row r="3" spans="2:3" x14ac:dyDescent="0.25">
      <c r="B3" s="1" t="s">
        <v>158</v>
      </c>
      <c r="C3" t="s">
        <v>159</v>
      </c>
    </row>
    <row r="4" spans="2:3" x14ac:dyDescent="0.25">
      <c r="B4" s="29"/>
      <c r="C4" t="s">
        <v>160</v>
      </c>
    </row>
  </sheetData>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112"/>
  <sheetViews>
    <sheetView tabSelected="1" zoomScale="60" zoomScaleNormal="60" zoomScalePageLayoutView="125" workbookViewId="0">
      <selection activeCell="H1" sqref="H1"/>
    </sheetView>
  </sheetViews>
  <sheetFormatPr defaultColWidth="10.85546875" defaultRowHeight="14.25" x14ac:dyDescent="0.2"/>
  <cols>
    <col min="1" max="1" width="10.85546875" style="3"/>
    <col min="2" max="2" width="5.140625" style="3" customWidth="1"/>
    <col min="3" max="3" width="36.85546875" style="3" customWidth="1"/>
    <col min="4" max="4" width="59.42578125" style="10" customWidth="1"/>
    <col min="5" max="5" width="22.42578125" style="3" customWidth="1"/>
    <col min="6" max="6" width="22.7109375" style="3" customWidth="1"/>
    <col min="7" max="7" width="17.140625" style="3" customWidth="1"/>
    <col min="8" max="9" width="14.42578125" style="3" customWidth="1"/>
    <col min="10" max="10" width="19.85546875" style="36" customWidth="1"/>
    <col min="11" max="11" width="22.85546875" style="151" customWidth="1"/>
    <col min="12" max="12" width="20.85546875" style="162" customWidth="1"/>
    <col min="13" max="13" width="13.7109375" style="3" customWidth="1"/>
    <col min="14" max="16384" width="10.85546875" style="3"/>
  </cols>
  <sheetData>
    <row r="1" spans="1:12" s="18" customFormat="1" ht="20.25" x14ac:dyDescent="0.3">
      <c r="B1" s="18" t="s">
        <v>141</v>
      </c>
      <c r="D1" s="19"/>
      <c r="J1" s="39"/>
      <c r="K1" s="147"/>
      <c r="L1" s="158"/>
    </row>
    <row r="2" spans="1:12" s="18" customFormat="1" ht="20.25" x14ac:dyDescent="0.3">
      <c r="A2" s="18" t="s">
        <v>166</v>
      </c>
      <c r="D2" s="19"/>
      <c r="J2" s="39"/>
      <c r="K2" s="147"/>
      <c r="L2" s="158"/>
    </row>
    <row r="3" spans="1:12" s="18" customFormat="1" ht="20.25" x14ac:dyDescent="0.3">
      <c r="D3" s="19"/>
      <c r="J3" s="39"/>
      <c r="K3" s="147"/>
      <c r="L3" s="158"/>
    </row>
    <row r="5" spans="1:12" s="2" customFormat="1" ht="15.75" x14ac:dyDescent="0.25">
      <c r="A5" s="31" t="s">
        <v>110</v>
      </c>
      <c r="D5" s="33"/>
      <c r="J5" s="40"/>
      <c r="K5" s="148"/>
      <c r="L5" s="159"/>
    </row>
    <row r="6" spans="1:12" s="21" customFormat="1" ht="15" customHeight="1" x14ac:dyDescent="0.2">
      <c r="A6" s="243" t="s">
        <v>142</v>
      </c>
      <c r="B6" s="243" t="s">
        <v>143</v>
      </c>
      <c r="C6" s="243"/>
      <c r="D6" s="274" t="s">
        <v>144</v>
      </c>
      <c r="E6" s="275" t="s">
        <v>167</v>
      </c>
      <c r="F6" s="275"/>
      <c r="G6" s="275"/>
      <c r="H6" s="275"/>
      <c r="I6" s="30"/>
      <c r="J6" s="217" t="s">
        <v>165</v>
      </c>
      <c r="K6" s="149"/>
      <c r="L6" s="160"/>
    </row>
    <row r="7" spans="1:12" s="20" customFormat="1" ht="65.25" customHeight="1" x14ac:dyDescent="0.25">
      <c r="A7" s="243"/>
      <c r="B7" s="243"/>
      <c r="C7" s="243"/>
      <c r="D7" s="274"/>
      <c r="E7" s="27" t="s">
        <v>161</v>
      </c>
      <c r="F7" s="27" t="s">
        <v>162</v>
      </c>
      <c r="G7" s="27" t="s">
        <v>163</v>
      </c>
      <c r="H7" s="27" t="s">
        <v>164</v>
      </c>
      <c r="I7" s="27" t="s">
        <v>168</v>
      </c>
      <c r="J7" s="217"/>
      <c r="K7" s="150"/>
      <c r="L7" s="161"/>
    </row>
    <row r="8" spans="1:12" ht="14.25" customHeight="1" x14ac:dyDescent="0.2">
      <c r="A8" s="242" t="s">
        <v>106</v>
      </c>
      <c r="B8" s="252">
        <v>111</v>
      </c>
      <c r="C8" s="254" t="s">
        <v>0</v>
      </c>
      <c r="D8" s="88" t="s">
        <v>42</v>
      </c>
      <c r="E8" s="89">
        <v>225</v>
      </c>
      <c r="F8" s="90" t="s">
        <v>40</v>
      </c>
      <c r="G8" s="90" t="s">
        <v>40</v>
      </c>
      <c r="H8" s="90" t="s">
        <v>40</v>
      </c>
      <c r="I8" s="90" t="s">
        <v>40</v>
      </c>
      <c r="J8" s="91">
        <v>1</v>
      </c>
    </row>
    <row r="9" spans="1:12" ht="28.5" x14ac:dyDescent="0.2">
      <c r="A9" s="242"/>
      <c r="B9" s="264"/>
      <c r="C9" s="270"/>
      <c r="D9" s="15" t="s">
        <v>99</v>
      </c>
      <c r="E9" s="25">
        <v>225</v>
      </c>
      <c r="F9" s="43" t="s">
        <v>40</v>
      </c>
      <c r="G9" s="43" t="s">
        <v>40</v>
      </c>
      <c r="H9" s="43" t="s">
        <v>40</v>
      </c>
      <c r="I9" s="43" t="s">
        <v>40</v>
      </c>
      <c r="J9" s="92">
        <v>1</v>
      </c>
    </row>
    <row r="10" spans="1:12" ht="28.5" x14ac:dyDescent="0.2">
      <c r="A10" s="242"/>
      <c r="B10" s="264"/>
      <c r="C10" s="270"/>
      <c r="D10" s="26" t="s">
        <v>43</v>
      </c>
      <c r="E10" s="37">
        <v>225</v>
      </c>
      <c r="F10" s="93" t="s">
        <v>40</v>
      </c>
      <c r="G10" s="93" t="s">
        <v>40</v>
      </c>
      <c r="H10" s="93" t="s">
        <v>40</v>
      </c>
      <c r="I10" s="93" t="s">
        <v>40</v>
      </c>
      <c r="J10" s="94">
        <v>1</v>
      </c>
    </row>
    <row r="11" spans="1:12" ht="28.5" x14ac:dyDescent="0.2">
      <c r="A11" s="242"/>
      <c r="B11" s="264"/>
      <c r="C11" s="270"/>
      <c r="D11" s="15" t="s">
        <v>95</v>
      </c>
      <c r="E11" s="25">
        <v>225</v>
      </c>
      <c r="F11" s="43" t="s">
        <v>40</v>
      </c>
      <c r="G11" s="43" t="s">
        <v>40</v>
      </c>
      <c r="H11" s="43" t="s">
        <v>40</v>
      </c>
      <c r="I11" s="43" t="s">
        <v>40</v>
      </c>
      <c r="J11" s="92">
        <v>1</v>
      </c>
    </row>
    <row r="12" spans="1:12" ht="28.5" x14ac:dyDescent="0.2">
      <c r="A12" s="242"/>
      <c r="B12" s="264"/>
      <c r="C12" s="270"/>
      <c r="D12" s="26" t="s">
        <v>39</v>
      </c>
      <c r="E12" s="37">
        <v>225</v>
      </c>
      <c r="F12" s="93" t="s">
        <v>40</v>
      </c>
      <c r="G12" s="93" t="s">
        <v>40</v>
      </c>
      <c r="H12" s="93" t="s">
        <v>40</v>
      </c>
      <c r="I12" s="93" t="s">
        <v>40</v>
      </c>
      <c r="J12" s="94">
        <v>1</v>
      </c>
    </row>
    <row r="13" spans="1:12" x14ac:dyDescent="0.2">
      <c r="A13" s="242"/>
      <c r="B13" s="264"/>
      <c r="C13" s="270"/>
      <c r="D13" s="15" t="s">
        <v>100</v>
      </c>
      <c r="E13" s="25">
        <v>1042</v>
      </c>
      <c r="F13" s="43" t="s">
        <v>40</v>
      </c>
      <c r="G13" s="43" t="s">
        <v>40</v>
      </c>
      <c r="H13" s="43" t="s">
        <v>40</v>
      </c>
      <c r="I13" s="43" t="s">
        <v>40</v>
      </c>
      <c r="J13" s="92">
        <v>1</v>
      </c>
    </row>
    <row r="14" spans="1:12" ht="30.75" customHeight="1" x14ac:dyDescent="0.2">
      <c r="A14" s="242"/>
      <c r="B14" s="264"/>
      <c r="C14" s="270"/>
      <c r="D14" s="15" t="s">
        <v>101</v>
      </c>
      <c r="E14" s="25">
        <v>225</v>
      </c>
      <c r="F14" s="43" t="s">
        <v>40</v>
      </c>
      <c r="G14" s="43" t="s">
        <v>40</v>
      </c>
      <c r="H14" s="43" t="s">
        <v>40</v>
      </c>
      <c r="I14" s="43" t="s">
        <v>40</v>
      </c>
      <c r="J14" s="92">
        <v>1</v>
      </c>
    </row>
    <row r="15" spans="1:12" ht="28.5" x14ac:dyDescent="0.2">
      <c r="A15" s="242"/>
      <c r="B15" s="253"/>
      <c r="C15" s="255"/>
      <c r="D15" s="95" t="s">
        <v>96</v>
      </c>
      <c r="E15" s="96">
        <v>225</v>
      </c>
      <c r="F15" s="97" t="s">
        <v>40</v>
      </c>
      <c r="G15" s="97" t="s">
        <v>40</v>
      </c>
      <c r="H15" s="97" t="s">
        <v>40</v>
      </c>
      <c r="I15" s="97" t="s">
        <v>40</v>
      </c>
      <c r="J15" s="98">
        <v>1</v>
      </c>
    </row>
    <row r="16" spans="1:12" s="4" customFormat="1" ht="57" x14ac:dyDescent="0.2">
      <c r="A16" s="242"/>
      <c r="B16" s="99">
        <v>112</v>
      </c>
      <c r="C16" s="100" t="s">
        <v>102</v>
      </c>
      <c r="D16" s="100" t="s">
        <v>104</v>
      </c>
      <c r="E16" s="101">
        <v>2505</v>
      </c>
      <c r="F16" s="102" t="s">
        <v>40</v>
      </c>
      <c r="G16" s="102" t="s">
        <v>40</v>
      </c>
      <c r="H16" s="102" t="s">
        <v>40</v>
      </c>
      <c r="I16" s="102" t="s">
        <v>40</v>
      </c>
      <c r="J16" s="103">
        <v>15</v>
      </c>
      <c r="K16" s="145"/>
      <c r="L16" s="163"/>
    </row>
    <row r="17" spans="1:14" s="5" customFormat="1" x14ac:dyDescent="0.2">
      <c r="A17" s="242"/>
      <c r="B17" s="50">
        <v>113</v>
      </c>
      <c r="C17" s="64" t="s">
        <v>89</v>
      </c>
      <c r="D17" s="104" t="s">
        <v>90</v>
      </c>
      <c r="E17" s="105">
        <v>225</v>
      </c>
      <c r="F17" s="106" t="s">
        <v>40</v>
      </c>
      <c r="G17" s="106" t="s">
        <v>40</v>
      </c>
      <c r="H17" s="106" t="s">
        <v>40</v>
      </c>
      <c r="I17" s="106" t="s">
        <v>40</v>
      </c>
      <c r="J17" s="107">
        <v>1</v>
      </c>
      <c r="K17" s="152"/>
      <c r="L17" s="164"/>
    </row>
    <row r="18" spans="1:14" s="4" customFormat="1" ht="71.25" x14ac:dyDescent="0.2">
      <c r="A18" s="242"/>
      <c r="B18" s="108">
        <v>114</v>
      </c>
      <c r="C18" s="109" t="s">
        <v>103</v>
      </c>
      <c r="D18" s="157" t="s">
        <v>40</v>
      </c>
      <c r="E18" s="209" t="s">
        <v>59</v>
      </c>
      <c r="F18" s="209"/>
      <c r="G18" s="209"/>
      <c r="H18" s="209"/>
      <c r="I18" s="209"/>
      <c r="J18" s="210"/>
      <c r="K18" s="145"/>
      <c r="L18" s="163"/>
    </row>
    <row r="19" spans="1:14" ht="137.25" x14ac:dyDescent="0.2">
      <c r="A19" s="23" t="s">
        <v>107</v>
      </c>
      <c r="B19" s="110">
        <v>121</v>
      </c>
      <c r="C19" s="111" t="s">
        <v>91</v>
      </c>
      <c r="D19" s="112" t="s">
        <v>105</v>
      </c>
      <c r="E19" s="113">
        <v>1808</v>
      </c>
      <c r="F19" s="102" t="s">
        <v>40</v>
      </c>
      <c r="G19" s="102" t="s">
        <v>40</v>
      </c>
      <c r="H19" s="102" t="s">
        <v>40</v>
      </c>
      <c r="I19" s="102" t="s">
        <v>40</v>
      </c>
      <c r="J19" s="103">
        <v>3</v>
      </c>
      <c r="K19" s="178"/>
    </row>
    <row r="20" spans="1:14" s="7" customFormat="1" x14ac:dyDescent="0.2">
      <c r="A20" s="242" t="s">
        <v>108</v>
      </c>
      <c r="B20" s="256">
        <v>131</v>
      </c>
      <c r="C20" s="259" t="s">
        <v>1</v>
      </c>
      <c r="D20" s="115" t="s">
        <v>172</v>
      </c>
      <c r="E20" s="57">
        <v>2280</v>
      </c>
      <c r="F20" s="71" t="s">
        <v>40</v>
      </c>
      <c r="G20" s="71" t="s">
        <v>40</v>
      </c>
      <c r="H20" s="71" t="s">
        <v>40</v>
      </c>
      <c r="I20" s="71" t="s">
        <v>40</v>
      </c>
      <c r="J20" s="59">
        <v>15</v>
      </c>
      <c r="K20" s="146"/>
      <c r="L20" s="165"/>
    </row>
    <row r="21" spans="1:14" s="7" customFormat="1" ht="18" customHeight="1" x14ac:dyDescent="0.2">
      <c r="A21" s="242"/>
      <c r="B21" s="257"/>
      <c r="C21" s="260"/>
      <c r="D21" s="16" t="s">
        <v>155</v>
      </c>
      <c r="E21" s="44">
        <v>2280</v>
      </c>
      <c r="F21" s="43" t="s">
        <v>40</v>
      </c>
      <c r="G21" s="43" t="s">
        <v>40</v>
      </c>
      <c r="H21" s="43" t="s">
        <v>40</v>
      </c>
      <c r="I21" s="43" t="s">
        <v>40</v>
      </c>
      <c r="J21" s="65">
        <v>15</v>
      </c>
      <c r="K21" s="146"/>
      <c r="L21" s="165"/>
    </row>
    <row r="22" spans="1:14" x14ac:dyDescent="0.2">
      <c r="A22" s="242"/>
      <c r="B22" s="258"/>
      <c r="C22" s="261"/>
      <c r="D22" s="116" t="s">
        <v>156</v>
      </c>
      <c r="E22" s="61">
        <v>2280</v>
      </c>
      <c r="F22" s="74" t="s">
        <v>40</v>
      </c>
      <c r="G22" s="74" t="s">
        <v>40</v>
      </c>
      <c r="H22" s="74" t="s">
        <v>40</v>
      </c>
      <c r="I22" s="74" t="s">
        <v>40</v>
      </c>
      <c r="J22" s="63">
        <v>15</v>
      </c>
    </row>
    <row r="23" spans="1:14" s="5" customFormat="1" ht="57" x14ac:dyDescent="0.2">
      <c r="A23" s="242"/>
      <c r="B23" s="50">
        <v>132</v>
      </c>
      <c r="C23" s="51" t="s">
        <v>2</v>
      </c>
      <c r="D23" s="117" t="s">
        <v>58</v>
      </c>
      <c r="E23" s="53">
        <v>225</v>
      </c>
      <c r="F23" s="102" t="s">
        <v>40</v>
      </c>
      <c r="G23" s="102" t="s">
        <v>40</v>
      </c>
      <c r="H23" s="102" t="s">
        <v>40</v>
      </c>
      <c r="I23" s="102" t="s">
        <v>40</v>
      </c>
      <c r="J23" s="55">
        <v>1</v>
      </c>
      <c r="K23" s="152"/>
      <c r="L23" s="164"/>
    </row>
    <row r="24" spans="1:14" s="9" customFormat="1" ht="42.75" x14ac:dyDescent="0.2">
      <c r="A24" s="242"/>
      <c r="B24" s="99">
        <v>133</v>
      </c>
      <c r="C24" s="118" t="s">
        <v>3</v>
      </c>
      <c r="D24" s="119" t="s">
        <v>169</v>
      </c>
      <c r="E24" s="120">
        <v>2747</v>
      </c>
      <c r="F24" s="102" t="s">
        <v>40</v>
      </c>
      <c r="G24" s="102" t="s">
        <v>40</v>
      </c>
      <c r="H24" s="102" t="s">
        <v>40</v>
      </c>
      <c r="I24" s="102" t="s">
        <v>40</v>
      </c>
      <c r="J24" s="121">
        <v>15</v>
      </c>
      <c r="K24" s="153"/>
      <c r="L24" s="164"/>
    </row>
    <row r="25" spans="1:14" ht="29.25" customHeight="1" x14ac:dyDescent="0.2">
      <c r="A25" s="242" t="s">
        <v>109</v>
      </c>
      <c r="B25" s="256">
        <v>141</v>
      </c>
      <c r="C25" s="259" t="s">
        <v>154</v>
      </c>
      <c r="D25" s="122" t="s">
        <v>151</v>
      </c>
      <c r="E25" s="123">
        <v>3918.3</v>
      </c>
      <c r="F25" s="71" t="s">
        <v>40</v>
      </c>
      <c r="G25" s="71" t="s">
        <v>40</v>
      </c>
      <c r="H25" s="71" t="s">
        <v>40</v>
      </c>
      <c r="I25" s="71" t="s">
        <v>40</v>
      </c>
      <c r="J25" s="75">
        <v>5</v>
      </c>
    </row>
    <row r="26" spans="1:14" ht="23.25" customHeight="1" x14ac:dyDescent="0.2">
      <c r="A26" s="273"/>
      <c r="B26" s="257"/>
      <c r="C26" s="260"/>
      <c r="D26" s="17" t="s">
        <v>150</v>
      </c>
      <c r="E26" s="38">
        <v>282.39999999999998</v>
      </c>
      <c r="F26" s="43" t="s">
        <v>40</v>
      </c>
      <c r="G26" s="43" t="s">
        <v>40</v>
      </c>
      <c r="H26" s="43" t="s">
        <v>40</v>
      </c>
      <c r="I26" s="43" t="s">
        <v>40</v>
      </c>
      <c r="J26" s="92">
        <v>5</v>
      </c>
    </row>
    <row r="27" spans="1:14" ht="24" customHeight="1" x14ac:dyDescent="0.2">
      <c r="A27" s="273"/>
      <c r="B27" s="258"/>
      <c r="C27" s="261"/>
      <c r="D27" s="124" t="s">
        <v>152</v>
      </c>
      <c r="E27" s="125">
        <v>248.2</v>
      </c>
      <c r="F27" s="74" t="s">
        <v>40</v>
      </c>
      <c r="G27" s="74" t="s">
        <v>40</v>
      </c>
      <c r="H27" s="74" t="s">
        <v>40</v>
      </c>
      <c r="I27" s="74" t="s">
        <v>40</v>
      </c>
      <c r="J27" s="77">
        <v>5</v>
      </c>
    </row>
    <row r="28" spans="1:14" s="5" customFormat="1" x14ac:dyDescent="0.2">
      <c r="B28" s="6"/>
      <c r="C28" s="8"/>
      <c r="D28" s="11"/>
      <c r="J28" s="35"/>
      <c r="K28" s="152"/>
      <c r="L28" s="164"/>
    </row>
    <row r="29" spans="1:14" s="22" customFormat="1" ht="15.75" x14ac:dyDescent="0.25">
      <c r="A29" s="31" t="s">
        <v>111</v>
      </c>
      <c r="C29" s="31"/>
      <c r="D29" s="32"/>
      <c r="J29" s="41"/>
      <c r="K29" s="154"/>
      <c r="L29" s="166"/>
    </row>
    <row r="30" spans="1:14" s="13" customFormat="1" ht="14.25" customHeight="1" x14ac:dyDescent="0.2">
      <c r="A30" s="243"/>
      <c r="B30" s="243" t="s">
        <v>143</v>
      </c>
      <c r="C30" s="243"/>
      <c r="D30" s="274" t="s">
        <v>144</v>
      </c>
      <c r="E30" s="275" t="s">
        <v>149</v>
      </c>
      <c r="F30" s="275"/>
      <c r="G30" s="275"/>
      <c r="H30" s="275"/>
      <c r="I30" s="30"/>
      <c r="J30" s="217" t="str">
        <f>J6</f>
        <v>Durée considérée (valeur en années)</v>
      </c>
      <c r="K30" s="150"/>
      <c r="L30" s="162"/>
      <c r="M30" s="162"/>
      <c r="N30" s="3"/>
    </row>
    <row r="31" spans="1:14" ht="45" customHeight="1" x14ac:dyDescent="0.2">
      <c r="A31" s="243"/>
      <c r="B31" s="243"/>
      <c r="C31" s="243"/>
      <c r="D31" s="274"/>
      <c r="E31" s="27" t="s">
        <v>145</v>
      </c>
      <c r="F31" s="27" t="s">
        <v>146</v>
      </c>
      <c r="G31" s="27" t="s">
        <v>148</v>
      </c>
      <c r="H31" s="27" t="s">
        <v>147</v>
      </c>
      <c r="I31" s="27" t="s">
        <v>168</v>
      </c>
      <c r="J31" s="217"/>
      <c r="N31" s="162"/>
    </row>
    <row r="32" spans="1:14" ht="14.25" customHeight="1" x14ac:dyDescent="0.2">
      <c r="A32" s="242" t="s">
        <v>112</v>
      </c>
      <c r="B32" s="305">
        <v>211</v>
      </c>
      <c r="C32" s="306" t="s">
        <v>4</v>
      </c>
      <c r="D32" s="307" t="s">
        <v>45</v>
      </c>
      <c r="E32" s="308">
        <v>14066.055446777546</v>
      </c>
      <c r="F32" s="308">
        <f>107500.206894/J32</f>
        <v>7166.6804596000002</v>
      </c>
      <c r="G32" s="308">
        <f>193970.261994372/J32</f>
        <v>12931.350799624801</v>
      </c>
      <c r="H32" s="308">
        <f>61605.5752584888/J32</f>
        <v>4107.0383505659202</v>
      </c>
      <c r="I32" s="308">
        <f>(G32+H32)-F32</f>
        <v>9871.7086905907199</v>
      </c>
      <c r="J32" s="309">
        <v>15</v>
      </c>
    </row>
    <row r="33" spans="1:13" ht="29.1" customHeight="1" x14ac:dyDescent="0.2">
      <c r="A33" s="242"/>
      <c r="B33" s="310"/>
      <c r="C33" s="311"/>
      <c r="D33" s="312" t="s">
        <v>60</v>
      </c>
      <c r="E33" s="313"/>
      <c r="F33" s="313"/>
      <c r="G33" s="313"/>
      <c r="H33" s="313"/>
      <c r="I33" s="313"/>
      <c r="J33" s="314"/>
      <c r="K33" s="197"/>
    </row>
    <row r="34" spans="1:13" ht="28.5" customHeight="1" x14ac:dyDescent="0.2">
      <c r="A34" s="242"/>
      <c r="B34" s="236">
        <v>212</v>
      </c>
      <c r="C34" s="239" t="s">
        <v>5</v>
      </c>
      <c r="D34" s="68" t="s">
        <v>61</v>
      </c>
      <c r="E34" s="232">
        <v>4388.1896431914702</v>
      </c>
      <c r="F34" s="232">
        <f>138972.961534692/J34</f>
        <v>9264.8641023128002</v>
      </c>
      <c r="G34" s="232">
        <f>173811.901152306/J34</f>
        <v>11587.4600768204</v>
      </c>
      <c r="H34" s="232">
        <f>0/J34</f>
        <v>0</v>
      </c>
      <c r="I34" s="232">
        <f>(G34+H34)-F34</f>
        <v>2322.5959745075997</v>
      </c>
      <c r="J34" s="234">
        <v>15</v>
      </c>
    </row>
    <row r="35" spans="1:13" x14ac:dyDescent="0.2">
      <c r="A35" s="242"/>
      <c r="B35" s="238"/>
      <c r="C35" s="241"/>
      <c r="D35" s="69" t="s">
        <v>62</v>
      </c>
      <c r="E35" s="233"/>
      <c r="F35" s="233"/>
      <c r="G35" s="233"/>
      <c r="H35" s="233"/>
      <c r="I35" s="233"/>
      <c r="J35" s="235"/>
    </row>
    <row r="36" spans="1:13" ht="28.5" customHeight="1" x14ac:dyDescent="0.2">
      <c r="A36" s="242"/>
      <c r="B36" s="252">
        <v>213</v>
      </c>
      <c r="C36" s="254" t="s">
        <v>6</v>
      </c>
      <c r="D36" s="56" t="s">
        <v>124</v>
      </c>
      <c r="E36" s="70">
        <v>15759.136103999999</v>
      </c>
      <c r="F36" s="71" t="s">
        <v>40</v>
      </c>
      <c r="G36" s="71" t="s">
        <v>40</v>
      </c>
      <c r="H36" s="71" t="s">
        <v>40</v>
      </c>
      <c r="I36" s="71" t="s">
        <v>40</v>
      </c>
      <c r="J36" s="276">
        <v>6</v>
      </c>
    </row>
    <row r="37" spans="1:13" x14ac:dyDescent="0.2">
      <c r="A37" s="242"/>
      <c r="B37" s="264"/>
      <c r="C37" s="270"/>
      <c r="D37" s="15" t="s">
        <v>170</v>
      </c>
      <c r="E37" s="72">
        <v>10781.761829999999</v>
      </c>
      <c r="F37" s="43" t="s">
        <v>40</v>
      </c>
      <c r="G37" s="43" t="s">
        <v>40</v>
      </c>
      <c r="H37" s="43" t="s">
        <v>40</v>
      </c>
      <c r="I37" s="43" t="s">
        <v>40</v>
      </c>
      <c r="J37" s="277"/>
    </row>
    <row r="38" spans="1:13" x14ac:dyDescent="0.2">
      <c r="A38" s="242"/>
      <c r="B38" s="264"/>
      <c r="C38" s="270"/>
      <c r="D38" s="15" t="s">
        <v>125</v>
      </c>
      <c r="E38" s="72">
        <v>4818.1000000000004</v>
      </c>
      <c r="F38" s="43" t="s">
        <v>40</v>
      </c>
      <c r="G38" s="43" t="s">
        <v>40</v>
      </c>
      <c r="H38" s="43" t="s">
        <v>40</v>
      </c>
      <c r="I38" s="43" t="s">
        <v>40</v>
      </c>
      <c r="J38" s="277"/>
    </row>
    <row r="39" spans="1:13" x14ac:dyDescent="0.2">
      <c r="A39" s="242"/>
      <c r="B39" s="253"/>
      <c r="C39" s="255"/>
      <c r="D39" s="60" t="s">
        <v>63</v>
      </c>
      <c r="E39" s="73">
        <v>3935.7420000000002</v>
      </c>
      <c r="F39" s="74" t="s">
        <v>40</v>
      </c>
      <c r="G39" s="74" t="s">
        <v>40</v>
      </c>
      <c r="H39" s="74" t="s">
        <v>40</v>
      </c>
      <c r="I39" s="74" t="s">
        <v>40</v>
      </c>
      <c r="J39" s="278"/>
    </row>
    <row r="40" spans="1:13" ht="14.25" customHeight="1" x14ac:dyDescent="0.2">
      <c r="A40" s="242"/>
      <c r="B40" s="252">
        <v>214</v>
      </c>
      <c r="C40" s="254" t="s">
        <v>7</v>
      </c>
      <c r="D40" s="56" t="s">
        <v>64</v>
      </c>
      <c r="E40" s="70">
        <f>1000000*0.89*655.957/1000000</f>
        <v>583.80173000000002</v>
      </c>
      <c r="F40" s="71" t="s">
        <v>40</v>
      </c>
      <c r="G40" s="71" t="s">
        <v>40</v>
      </c>
      <c r="H40" s="71" t="s">
        <v>40</v>
      </c>
      <c r="I40" s="71" t="s">
        <v>40</v>
      </c>
      <c r="J40" s="75">
        <v>1</v>
      </c>
    </row>
    <row r="41" spans="1:13" x14ac:dyDescent="0.2">
      <c r="A41" s="242"/>
      <c r="B41" s="253"/>
      <c r="C41" s="255"/>
      <c r="D41" s="76" t="s">
        <v>65</v>
      </c>
      <c r="E41" s="73">
        <v>5692</v>
      </c>
      <c r="F41" s="74" t="s">
        <v>40</v>
      </c>
      <c r="G41" s="74" t="s">
        <v>40</v>
      </c>
      <c r="H41" s="74" t="s">
        <v>40</v>
      </c>
      <c r="I41" s="74" t="s">
        <v>40</v>
      </c>
      <c r="J41" s="77">
        <v>15</v>
      </c>
    </row>
    <row r="42" spans="1:13" x14ac:dyDescent="0.2">
      <c r="A42" s="242" t="s">
        <v>113</v>
      </c>
      <c r="B42" s="78">
        <v>221</v>
      </c>
      <c r="C42" s="79" t="s">
        <v>8</v>
      </c>
      <c r="D42" s="80" t="s">
        <v>66</v>
      </c>
      <c r="E42" s="81">
        <f>E41+E40</f>
        <v>6275.8017300000001</v>
      </c>
      <c r="F42" s="82"/>
      <c r="G42" s="82"/>
      <c r="H42" s="82"/>
      <c r="I42" s="82"/>
      <c r="J42" s="83"/>
    </row>
    <row r="43" spans="1:13" ht="28.5" x14ac:dyDescent="0.2">
      <c r="A43" s="242"/>
      <c r="B43" s="250">
        <v>222</v>
      </c>
      <c r="C43" s="262" t="s">
        <v>9</v>
      </c>
      <c r="D43" s="84" t="s">
        <v>123</v>
      </c>
      <c r="E43" s="57">
        <v>3525</v>
      </c>
      <c r="F43" s="58" t="s">
        <v>40</v>
      </c>
      <c r="G43" s="58" t="s">
        <v>40</v>
      </c>
      <c r="H43" s="58" t="s">
        <v>40</v>
      </c>
      <c r="I43" s="58" t="s">
        <v>40</v>
      </c>
      <c r="J43" s="59">
        <v>6</v>
      </c>
    </row>
    <row r="44" spans="1:13" x14ac:dyDescent="0.2">
      <c r="A44" s="242"/>
      <c r="B44" s="271"/>
      <c r="C44" s="272"/>
      <c r="D44" s="169" t="s">
        <v>173</v>
      </c>
      <c r="E44" s="228" t="s">
        <v>67</v>
      </c>
      <c r="F44" s="228"/>
      <c r="G44" s="228"/>
      <c r="H44" s="228"/>
      <c r="I44" s="228"/>
      <c r="J44" s="229"/>
    </row>
    <row r="45" spans="1:13" x14ac:dyDescent="0.2">
      <c r="A45" s="242"/>
      <c r="B45" s="251"/>
      <c r="C45" s="263"/>
      <c r="D45" s="170" t="s">
        <v>174</v>
      </c>
      <c r="E45" s="230" t="s">
        <v>175</v>
      </c>
      <c r="F45" s="230"/>
      <c r="G45" s="230"/>
      <c r="H45" s="230"/>
      <c r="I45" s="230"/>
      <c r="J45" s="231"/>
      <c r="K45" s="162"/>
    </row>
    <row r="46" spans="1:13" ht="28.5" x14ac:dyDescent="0.2">
      <c r="A46" s="242"/>
      <c r="B46" s="250">
        <v>223</v>
      </c>
      <c r="C46" s="262" t="s">
        <v>122</v>
      </c>
      <c r="D46" s="56" t="s">
        <v>44</v>
      </c>
      <c r="E46" s="57">
        <v>2677</v>
      </c>
      <c r="F46" s="185" t="s">
        <v>171</v>
      </c>
      <c r="G46" s="86">
        <f>300000*20/1000/22</f>
        <v>272.72727272727275</v>
      </c>
      <c r="H46" s="85" t="s">
        <v>40</v>
      </c>
      <c r="I46" s="87">
        <f>G46</f>
        <v>272.72727272727275</v>
      </c>
      <c r="J46" s="59">
        <v>22</v>
      </c>
      <c r="M46" s="182"/>
    </row>
    <row r="47" spans="1:13" ht="28.5" customHeight="1" x14ac:dyDescent="0.2">
      <c r="A47" s="242"/>
      <c r="B47" s="251"/>
      <c r="C47" s="263"/>
      <c r="D47" s="171" t="s">
        <v>176</v>
      </c>
      <c r="E47" s="230" t="s">
        <v>68</v>
      </c>
      <c r="F47" s="230"/>
      <c r="G47" s="230"/>
      <c r="H47" s="230"/>
      <c r="I47" s="230"/>
      <c r="J47" s="231"/>
    </row>
    <row r="48" spans="1:13" ht="15" customHeight="1" x14ac:dyDescent="0.2">
      <c r="A48" s="242" t="s">
        <v>114</v>
      </c>
      <c r="B48" s="252">
        <v>231</v>
      </c>
      <c r="C48" s="265" t="s">
        <v>10</v>
      </c>
      <c r="D48" s="296" t="s">
        <v>121</v>
      </c>
      <c r="E48" s="297">
        <v>6822</v>
      </c>
      <c r="F48" s="297">
        <f>(408199594.14/1000)/J48</f>
        <v>27213.306275999999</v>
      </c>
      <c r="G48" s="298">
        <v>0</v>
      </c>
      <c r="H48" s="297">
        <f>(1416664.848438/1000)/J48</f>
        <v>94.444323229200009</v>
      </c>
      <c r="I48" s="299">
        <f>(G48+H48)-F48</f>
        <v>-27118.8619527708</v>
      </c>
      <c r="J48" s="300">
        <v>15</v>
      </c>
    </row>
    <row r="49" spans="1:13" x14ac:dyDescent="0.2">
      <c r="A49" s="242"/>
      <c r="B49" s="264"/>
      <c r="C49" s="266"/>
      <c r="D49" s="295" t="s">
        <v>73</v>
      </c>
      <c r="E49" s="301"/>
      <c r="F49" s="301"/>
      <c r="G49" s="302"/>
      <c r="H49" s="301"/>
      <c r="I49" s="303"/>
      <c r="J49" s="304"/>
    </row>
    <row r="50" spans="1:13" ht="28.5" x14ac:dyDescent="0.2">
      <c r="A50" s="242"/>
      <c r="B50" s="264"/>
      <c r="C50" s="266"/>
      <c r="D50" s="295" t="s">
        <v>74</v>
      </c>
      <c r="E50" s="301"/>
      <c r="F50" s="301"/>
      <c r="G50" s="302"/>
      <c r="H50" s="301"/>
      <c r="I50" s="303"/>
      <c r="J50" s="304"/>
    </row>
    <row r="51" spans="1:13" ht="27" customHeight="1" x14ac:dyDescent="0.2">
      <c r="A51" s="242"/>
      <c r="B51" s="253"/>
      <c r="C51" s="267"/>
      <c r="D51" s="292" t="s">
        <v>177</v>
      </c>
      <c r="E51" s="293" t="s">
        <v>69</v>
      </c>
      <c r="F51" s="293"/>
      <c r="G51" s="293"/>
      <c r="H51" s="293"/>
      <c r="I51" s="293"/>
      <c r="J51" s="294"/>
    </row>
    <row r="52" spans="1:13" ht="33.75" customHeight="1" x14ac:dyDescent="0.2">
      <c r="A52" s="242"/>
      <c r="B52" s="268">
        <v>232</v>
      </c>
      <c r="C52" s="247" t="s">
        <v>11</v>
      </c>
      <c r="D52" s="291" t="s">
        <v>178</v>
      </c>
      <c r="E52" s="203" t="s">
        <v>70</v>
      </c>
      <c r="F52" s="203"/>
      <c r="G52" s="203"/>
      <c r="H52" s="203"/>
      <c r="I52" s="203"/>
      <c r="J52" s="204"/>
    </row>
    <row r="53" spans="1:13" ht="21.75" customHeight="1" x14ac:dyDescent="0.2">
      <c r="A53" s="242"/>
      <c r="B53" s="269"/>
      <c r="C53" s="249"/>
      <c r="D53" s="172" t="s">
        <v>179</v>
      </c>
      <c r="E53" s="201" t="s">
        <v>70</v>
      </c>
      <c r="F53" s="201"/>
      <c r="G53" s="201"/>
      <c r="H53" s="201"/>
      <c r="I53" s="201"/>
      <c r="J53" s="202"/>
    </row>
    <row r="54" spans="1:13" ht="14.25" customHeight="1" x14ac:dyDescent="0.2">
      <c r="A54" s="242"/>
      <c r="B54" s="250">
        <v>233</v>
      </c>
      <c r="C54" s="239" t="s">
        <v>12</v>
      </c>
      <c r="D54" s="173" t="s">
        <v>180</v>
      </c>
      <c r="E54" s="205" t="s">
        <v>70</v>
      </c>
      <c r="F54" s="205"/>
      <c r="G54" s="205"/>
      <c r="H54" s="205"/>
      <c r="I54" s="205"/>
      <c r="J54" s="206"/>
    </row>
    <row r="55" spans="1:13" x14ac:dyDescent="0.2">
      <c r="A55" s="242"/>
      <c r="B55" s="251"/>
      <c r="C55" s="241"/>
      <c r="D55" s="48" t="s">
        <v>71</v>
      </c>
      <c r="E55" s="49">
        <v>266</v>
      </c>
      <c r="F55" s="49">
        <v>124</v>
      </c>
      <c r="G55" s="45">
        <v>0</v>
      </c>
      <c r="H55" s="45">
        <v>0</v>
      </c>
      <c r="I55" s="46">
        <v>-124</v>
      </c>
      <c r="J55" s="47">
        <v>15</v>
      </c>
    </row>
    <row r="56" spans="1:13" ht="27" customHeight="1" x14ac:dyDescent="0.2">
      <c r="A56" s="242"/>
      <c r="B56" s="250">
        <v>234</v>
      </c>
      <c r="C56" s="239" t="s">
        <v>13</v>
      </c>
      <c r="D56" s="174" t="s">
        <v>181</v>
      </c>
      <c r="E56" s="203" t="s">
        <v>70</v>
      </c>
      <c r="F56" s="203"/>
      <c r="G56" s="203"/>
      <c r="H56" s="203"/>
      <c r="I56" s="203"/>
      <c r="J56" s="204"/>
    </row>
    <row r="57" spans="1:13" ht="28.5" x14ac:dyDescent="0.2">
      <c r="A57" s="242"/>
      <c r="B57" s="251"/>
      <c r="C57" s="241"/>
      <c r="D57" s="48" t="s">
        <v>72</v>
      </c>
      <c r="E57" s="187">
        <v>51</v>
      </c>
      <c r="F57" s="187">
        <v>0</v>
      </c>
      <c r="G57" s="187">
        <v>2162.9854096499998</v>
      </c>
      <c r="H57" s="187">
        <v>0</v>
      </c>
      <c r="I57" s="188">
        <v>2162.9854096499998</v>
      </c>
      <c r="J57" s="186">
        <v>15</v>
      </c>
    </row>
    <row r="58" spans="1:13" ht="57" customHeight="1" x14ac:dyDescent="0.2">
      <c r="A58" s="242" t="s">
        <v>115</v>
      </c>
      <c r="B58" s="50">
        <v>241</v>
      </c>
      <c r="C58" s="51" t="s">
        <v>14</v>
      </c>
      <c r="D58" s="52" t="s">
        <v>46</v>
      </c>
      <c r="E58" s="53">
        <f>(284800+4800*2)/1000</f>
        <v>294.39999999999998</v>
      </c>
      <c r="F58" s="194">
        <v>0</v>
      </c>
      <c r="G58" s="54">
        <f>462/15</f>
        <v>30.8</v>
      </c>
      <c r="H58" s="194">
        <v>0</v>
      </c>
      <c r="I58" s="54">
        <f>G58</f>
        <v>30.8</v>
      </c>
      <c r="J58" s="55">
        <v>15</v>
      </c>
      <c r="M58" s="182"/>
    </row>
    <row r="59" spans="1:13" x14ac:dyDescent="0.2">
      <c r="A59" s="242"/>
      <c r="B59" s="252">
        <v>242</v>
      </c>
      <c r="C59" s="254" t="s">
        <v>15</v>
      </c>
      <c r="D59" s="56" t="s">
        <v>47</v>
      </c>
      <c r="E59" s="57">
        <v>461</v>
      </c>
      <c r="F59" s="57">
        <f>800/21</f>
        <v>38.095238095238095</v>
      </c>
      <c r="G59" s="57">
        <f>2450/21</f>
        <v>116.66666666666667</v>
      </c>
      <c r="H59" s="195">
        <v>0</v>
      </c>
      <c r="I59" s="57">
        <f>G59-F59</f>
        <v>78.571428571428584</v>
      </c>
      <c r="J59" s="59">
        <v>21</v>
      </c>
      <c r="M59" s="182"/>
    </row>
    <row r="60" spans="1:13" ht="31.5" customHeight="1" x14ac:dyDescent="0.2">
      <c r="A60" s="242"/>
      <c r="B60" s="253"/>
      <c r="C60" s="255"/>
      <c r="D60" s="60" t="s">
        <v>48</v>
      </c>
      <c r="E60" s="61">
        <v>110</v>
      </c>
      <c r="F60" s="62" t="s">
        <v>40</v>
      </c>
      <c r="G60" s="62" t="s">
        <v>40</v>
      </c>
      <c r="H60" s="62" t="s">
        <v>40</v>
      </c>
      <c r="I60" s="62" t="s">
        <v>40</v>
      </c>
      <c r="J60" s="63">
        <v>3</v>
      </c>
    </row>
    <row r="61" spans="1:13" ht="31.5" customHeight="1" x14ac:dyDescent="0.2">
      <c r="A61" s="24" t="s">
        <v>116</v>
      </c>
      <c r="B61" s="126">
        <v>251</v>
      </c>
      <c r="C61" s="127" t="s">
        <v>120</v>
      </c>
      <c r="D61" s="128" t="s">
        <v>118</v>
      </c>
      <c r="E61" s="81">
        <v>2319</v>
      </c>
      <c r="F61" s="192"/>
      <c r="G61" s="82"/>
      <c r="H61" s="82"/>
      <c r="I61" s="82"/>
      <c r="J61" s="83">
        <v>15</v>
      </c>
    </row>
    <row r="62" spans="1:13" ht="28.5" x14ac:dyDescent="0.2">
      <c r="A62" s="242" t="s">
        <v>117</v>
      </c>
      <c r="B62" s="236">
        <v>261</v>
      </c>
      <c r="C62" s="239" t="s">
        <v>16</v>
      </c>
      <c r="D62" s="174" t="s">
        <v>184</v>
      </c>
      <c r="E62" s="203" t="s">
        <v>75</v>
      </c>
      <c r="F62" s="203"/>
      <c r="G62" s="203"/>
      <c r="H62" s="203"/>
      <c r="I62" s="203"/>
      <c r="J62" s="204"/>
    </row>
    <row r="63" spans="1:13" ht="25.5" customHeight="1" x14ac:dyDescent="0.2">
      <c r="A63" s="242"/>
      <c r="B63" s="237"/>
      <c r="C63" s="240"/>
      <c r="D63" s="129" t="s">
        <v>92</v>
      </c>
      <c r="E63" s="211">
        <v>795</v>
      </c>
      <c r="F63" s="211" t="s">
        <v>40</v>
      </c>
      <c r="G63" s="211" t="s">
        <v>40</v>
      </c>
      <c r="H63" s="211" t="s">
        <v>40</v>
      </c>
      <c r="I63" s="213" t="s">
        <v>40</v>
      </c>
      <c r="J63" s="215">
        <v>15</v>
      </c>
    </row>
    <row r="64" spans="1:13" ht="30" customHeight="1" x14ac:dyDescent="0.2">
      <c r="A64" s="242"/>
      <c r="B64" s="238"/>
      <c r="C64" s="241"/>
      <c r="D64" s="130" t="s">
        <v>119</v>
      </c>
      <c r="E64" s="212"/>
      <c r="F64" s="212"/>
      <c r="G64" s="212"/>
      <c r="H64" s="212"/>
      <c r="I64" s="214"/>
      <c r="J64" s="216"/>
    </row>
    <row r="65" spans="1:14" ht="28.5" x14ac:dyDescent="0.2">
      <c r="A65" s="242"/>
      <c r="B65" s="244">
        <v>262</v>
      </c>
      <c r="C65" s="247" t="s">
        <v>17</v>
      </c>
      <c r="D65" s="175" t="s">
        <v>184</v>
      </c>
      <c r="E65" s="203" t="s">
        <v>75</v>
      </c>
      <c r="F65" s="203"/>
      <c r="G65" s="203"/>
      <c r="H65" s="203"/>
      <c r="I65" s="203"/>
      <c r="J65" s="204"/>
    </row>
    <row r="66" spans="1:14" ht="28.5" x14ac:dyDescent="0.2">
      <c r="A66" s="242"/>
      <c r="B66" s="245"/>
      <c r="C66" s="248"/>
      <c r="D66" s="191" t="s">
        <v>182</v>
      </c>
      <c r="E66" s="203" t="s">
        <v>70</v>
      </c>
      <c r="F66" s="203"/>
      <c r="G66" s="203"/>
      <c r="H66" s="203"/>
      <c r="I66" s="203"/>
      <c r="J66" s="204"/>
    </row>
    <row r="67" spans="1:14" ht="28.5" x14ac:dyDescent="0.2">
      <c r="A67" s="242"/>
      <c r="B67" s="246"/>
      <c r="C67" s="249"/>
      <c r="D67" s="289" t="s">
        <v>183</v>
      </c>
      <c r="E67" s="290" t="s">
        <v>192</v>
      </c>
      <c r="F67" s="289"/>
      <c r="G67" s="289"/>
      <c r="H67" s="289"/>
      <c r="I67" s="289"/>
      <c r="J67" s="289">
        <v>15</v>
      </c>
    </row>
    <row r="68" spans="1:14" ht="28.5" x14ac:dyDescent="0.2">
      <c r="A68" s="242"/>
      <c r="B68" s="66">
        <v>263</v>
      </c>
      <c r="C68" s="67" t="s">
        <v>18</v>
      </c>
      <c r="D68" s="176" t="s">
        <v>185</v>
      </c>
      <c r="E68" s="207" t="s">
        <v>186</v>
      </c>
      <c r="F68" s="207"/>
      <c r="G68" s="207"/>
      <c r="H68" s="207"/>
      <c r="I68" s="207"/>
      <c r="J68" s="208"/>
      <c r="K68" s="162"/>
    </row>
    <row r="69" spans="1:14" x14ac:dyDescent="0.2">
      <c r="A69" s="5"/>
      <c r="B69" s="5"/>
      <c r="C69" s="5"/>
      <c r="D69" s="11"/>
      <c r="E69" s="5"/>
      <c r="F69" s="5"/>
      <c r="G69" s="5"/>
      <c r="H69" s="5"/>
      <c r="I69" s="5"/>
      <c r="J69" s="35"/>
    </row>
    <row r="70" spans="1:14" s="14" customFormat="1" ht="15.75" x14ac:dyDescent="0.25">
      <c r="A70" s="31" t="s">
        <v>127</v>
      </c>
      <c r="B70" s="22"/>
      <c r="C70" s="31"/>
      <c r="D70" s="32"/>
      <c r="E70" s="22"/>
      <c r="F70" s="22"/>
      <c r="G70" s="22"/>
      <c r="H70" s="22"/>
      <c r="I70" s="22"/>
      <c r="J70" s="41"/>
      <c r="K70" s="155"/>
      <c r="L70" s="167"/>
    </row>
    <row r="71" spans="1:14" s="12" customFormat="1" ht="14.25" customHeight="1" x14ac:dyDescent="0.2">
      <c r="A71" s="243"/>
      <c r="B71" s="243" t="s">
        <v>143</v>
      </c>
      <c r="C71" s="243"/>
      <c r="D71" s="274" t="s">
        <v>144</v>
      </c>
      <c r="E71" s="275" t="s">
        <v>149</v>
      </c>
      <c r="F71" s="275"/>
      <c r="G71" s="275"/>
      <c r="H71" s="275"/>
      <c r="I71" s="30"/>
      <c r="J71" s="217" t="str">
        <f>J6</f>
        <v>Durée considérée (valeur en années)</v>
      </c>
      <c r="K71" s="150"/>
      <c r="L71" s="162"/>
      <c r="M71" s="162"/>
      <c r="N71" s="3"/>
    </row>
    <row r="72" spans="1:14" ht="40.5" customHeight="1" x14ac:dyDescent="0.2">
      <c r="A72" s="243"/>
      <c r="B72" s="243"/>
      <c r="C72" s="243"/>
      <c r="D72" s="274"/>
      <c r="E72" s="27" t="s">
        <v>145</v>
      </c>
      <c r="F72" s="27" t="s">
        <v>146</v>
      </c>
      <c r="G72" s="27" t="s">
        <v>148</v>
      </c>
      <c r="H72" s="27" t="s">
        <v>147</v>
      </c>
      <c r="I72" s="27" t="s">
        <v>168</v>
      </c>
      <c r="J72" s="217"/>
      <c r="M72" s="162"/>
    </row>
    <row r="73" spans="1:14" ht="28.5" x14ac:dyDescent="0.2">
      <c r="A73" s="242" t="s">
        <v>129</v>
      </c>
      <c r="B73" s="252">
        <v>311</v>
      </c>
      <c r="C73" s="254" t="s">
        <v>19</v>
      </c>
      <c r="D73" s="56" t="s">
        <v>82</v>
      </c>
      <c r="E73" s="70">
        <v>16300</v>
      </c>
      <c r="F73" s="195">
        <v>0</v>
      </c>
      <c r="G73" s="70">
        <f>53482/15</f>
        <v>3565.4666666666667</v>
      </c>
      <c r="H73" s="70">
        <f>106278/15</f>
        <v>7085.2</v>
      </c>
      <c r="I73" s="70">
        <f>G73+H73</f>
        <v>10650.666666666666</v>
      </c>
      <c r="J73" s="75">
        <v>15</v>
      </c>
      <c r="L73" s="181"/>
      <c r="M73" s="179"/>
    </row>
    <row r="74" spans="1:14" ht="28.5" x14ac:dyDescent="0.2">
      <c r="A74" s="242"/>
      <c r="B74" s="253"/>
      <c r="C74" s="255"/>
      <c r="D74" s="60" t="s">
        <v>83</v>
      </c>
      <c r="E74" s="73">
        <v>509</v>
      </c>
      <c r="F74" s="183">
        <f>7335/15</f>
        <v>489</v>
      </c>
      <c r="G74" s="73">
        <f>63/15</f>
        <v>4.2</v>
      </c>
      <c r="H74" s="73">
        <f>2273/15</f>
        <v>151.53333333333333</v>
      </c>
      <c r="I74" s="73">
        <f>G74+H74-F74</f>
        <v>-333.26666666666665</v>
      </c>
      <c r="J74" s="77">
        <v>15</v>
      </c>
      <c r="K74" s="178"/>
      <c r="M74" s="162"/>
    </row>
    <row r="75" spans="1:14" x14ac:dyDescent="0.2">
      <c r="A75" s="242"/>
      <c r="B75" s="252">
        <v>312</v>
      </c>
      <c r="C75" s="254" t="s">
        <v>139</v>
      </c>
      <c r="D75" s="56" t="s">
        <v>49</v>
      </c>
      <c r="E75" s="70">
        <v>38010</v>
      </c>
      <c r="F75" s="70">
        <f>250668/25</f>
        <v>10026.719999999999</v>
      </c>
      <c r="G75" s="70">
        <f>512941/25</f>
        <v>20517.64</v>
      </c>
      <c r="H75" s="70">
        <f>46996/25</f>
        <v>1879.84</v>
      </c>
      <c r="I75" s="70">
        <f>H75+G75-F75</f>
        <v>12370.76</v>
      </c>
      <c r="J75" s="75">
        <v>25</v>
      </c>
      <c r="M75" s="182"/>
    </row>
    <row r="76" spans="1:14" x14ac:dyDescent="0.2">
      <c r="A76" s="242"/>
      <c r="B76" s="264"/>
      <c r="C76" s="270"/>
      <c r="D76" s="42" t="s">
        <v>98</v>
      </c>
      <c r="E76" s="72">
        <v>6579</v>
      </c>
      <c r="F76" s="72">
        <f>22610/25</f>
        <v>904.4</v>
      </c>
      <c r="G76" s="72">
        <f>52885/25</f>
        <v>2115.4</v>
      </c>
      <c r="H76" s="72">
        <f>1413/25</f>
        <v>56.52</v>
      </c>
      <c r="I76" s="72">
        <f>H76+G76-F76</f>
        <v>1267.52</v>
      </c>
      <c r="J76" s="92">
        <v>25</v>
      </c>
      <c r="M76" s="182"/>
    </row>
    <row r="77" spans="1:14" x14ac:dyDescent="0.2">
      <c r="A77" s="242"/>
      <c r="B77" s="253"/>
      <c r="C77" s="255"/>
      <c r="D77" s="76" t="s">
        <v>140</v>
      </c>
      <c r="E77" s="73">
        <f>24863</f>
        <v>24863</v>
      </c>
      <c r="F77" s="193">
        <f>122085/J77</f>
        <v>3299.5945945945946</v>
      </c>
      <c r="G77" s="73">
        <f>294981/J77</f>
        <v>7972.4594594594591</v>
      </c>
      <c r="H77" s="73">
        <f>10917/J77</f>
        <v>295.05405405405406</v>
      </c>
      <c r="I77" s="72">
        <f>H77+G77-F77</f>
        <v>4967.9189189189183</v>
      </c>
      <c r="J77" s="77">
        <v>37</v>
      </c>
      <c r="K77" s="178"/>
      <c r="M77" s="182"/>
    </row>
    <row r="78" spans="1:14" ht="28.5" x14ac:dyDescent="0.2">
      <c r="A78" s="242"/>
      <c r="B78" s="99">
        <v>313</v>
      </c>
      <c r="C78" s="100" t="s">
        <v>138</v>
      </c>
      <c r="D78" s="119" t="s">
        <v>93</v>
      </c>
      <c r="E78" s="131">
        <v>169468</v>
      </c>
      <c r="F78" s="131">
        <f>1024907/J78</f>
        <v>36603.821428571428</v>
      </c>
      <c r="G78" s="131">
        <f>2445141/J78</f>
        <v>87326.46428571429</v>
      </c>
      <c r="H78" s="131">
        <f>36219/J78</f>
        <v>1293.5357142857142</v>
      </c>
      <c r="I78" s="131">
        <f>G78+H78-F78</f>
        <v>52016.178571428572</v>
      </c>
      <c r="J78" s="114">
        <v>28</v>
      </c>
      <c r="M78" s="182"/>
    </row>
    <row r="79" spans="1:14" ht="42.75" x14ac:dyDescent="0.2">
      <c r="A79" s="242" t="s">
        <v>128</v>
      </c>
      <c r="B79" s="108">
        <v>321</v>
      </c>
      <c r="C79" s="109" t="s">
        <v>57</v>
      </c>
      <c r="D79" s="109" t="s">
        <v>40</v>
      </c>
      <c r="E79" s="209" t="s">
        <v>76</v>
      </c>
      <c r="F79" s="209"/>
      <c r="G79" s="209"/>
      <c r="H79" s="209"/>
      <c r="I79" s="209"/>
      <c r="J79" s="210"/>
    </row>
    <row r="80" spans="1:14" ht="57" x14ac:dyDescent="0.2">
      <c r="A80" s="242"/>
      <c r="B80" s="108">
        <v>322</v>
      </c>
      <c r="C80" s="109" t="s">
        <v>20</v>
      </c>
      <c r="D80" s="109" t="s">
        <v>40</v>
      </c>
      <c r="E80" s="209" t="s">
        <v>76</v>
      </c>
      <c r="F80" s="209"/>
      <c r="G80" s="209"/>
      <c r="H80" s="209"/>
      <c r="I80" s="209"/>
      <c r="J80" s="210"/>
    </row>
    <row r="81" spans="1:11" ht="57" x14ac:dyDescent="0.2">
      <c r="A81" s="242" t="s">
        <v>130</v>
      </c>
      <c r="B81" s="108">
        <v>331</v>
      </c>
      <c r="C81" s="109" t="s">
        <v>51</v>
      </c>
      <c r="D81" s="109" t="s">
        <v>40</v>
      </c>
      <c r="E81" s="209" t="s">
        <v>77</v>
      </c>
      <c r="F81" s="209"/>
      <c r="G81" s="209"/>
      <c r="H81" s="209"/>
      <c r="I81" s="209"/>
      <c r="J81" s="210"/>
    </row>
    <row r="82" spans="1:11" ht="42.75" x14ac:dyDescent="0.2">
      <c r="A82" s="242"/>
      <c r="B82" s="108">
        <v>332</v>
      </c>
      <c r="C82" s="109" t="s">
        <v>52</v>
      </c>
      <c r="D82" s="109" t="s">
        <v>40</v>
      </c>
      <c r="E82" s="209" t="s">
        <v>77</v>
      </c>
      <c r="F82" s="209"/>
      <c r="G82" s="209"/>
      <c r="H82" s="209"/>
      <c r="I82" s="209"/>
      <c r="J82" s="210"/>
    </row>
    <row r="83" spans="1:11" ht="28.5" x14ac:dyDescent="0.2">
      <c r="A83" s="242"/>
      <c r="B83" s="108">
        <v>333</v>
      </c>
      <c r="C83" s="109" t="s">
        <v>21</v>
      </c>
      <c r="D83" s="109" t="s">
        <v>40</v>
      </c>
      <c r="E83" s="209" t="s">
        <v>76</v>
      </c>
      <c r="F83" s="209"/>
      <c r="G83" s="209"/>
      <c r="H83" s="209"/>
      <c r="I83" s="209"/>
      <c r="J83" s="210"/>
    </row>
    <row r="84" spans="1:11" ht="57" x14ac:dyDescent="0.2">
      <c r="A84" s="242"/>
      <c r="B84" s="108">
        <v>334</v>
      </c>
      <c r="C84" s="109" t="s">
        <v>22</v>
      </c>
      <c r="D84" s="109" t="s">
        <v>40</v>
      </c>
      <c r="E84" s="209" t="s">
        <v>76</v>
      </c>
      <c r="F84" s="209"/>
      <c r="G84" s="209"/>
      <c r="H84" s="209"/>
      <c r="I84" s="209"/>
      <c r="J84" s="210"/>
    </row>
    <row r="85" spans="1:11" x14ac:dyDescent="0.2">
      <c r="A85" s="242" t="s">
        <v>131</v>
      </c>
      <c r="B85" s="279">
        <v>341</v>
      </c>
      <c r="C85" s="281" t="s">
        <v>137</v>
      </c>
      <c r="D85" s="177" t="s">
        <v>187</v>
      </c>
      <c r="E85" s="218" t="s">
        <v>189</v>
      </c>
      <c r="F85" s="218"/>
      <c r="G85" s="218"/>
      <c r="H85" s="218"/>
      <c r="I85" s="218"/>
      <c r="J85" s="219"/>
      <c r="K85" s="178"/>
    </row>
    <row r="86" spans="1:11" ht="28.5" customHeight="1" x14ac:dyDescent="0.2">
      <c r="A86" s="242"/>
      <c r="B86" s="280"/>
      <c r="C86" s="282"/>
      <c r="D86" s="177" t="s">
        <v>188</v>
      </c>
      <c r="E86" s="220" t="s">
        <v>78</v>
      </c>
      <c r="F86" s="220"/>
      <c r="G86" s="220"/>
      <c r="H86" s="220"/>
      <c r="I86" s="220"/>
      <c r="J86" s="221"/>
    </row>
    <row r="87" spans="1:11" ht="28.5" x14ac:dyDescent="0.2">
      <c r="A87" s="242"/>
      <c r="B87" s="108">
        <v>342</v>
      </c>
      <c r="C87" s="109" t="s">
        <v>23</v>
      </c>
      <c r="D87" s="132" t="s">
        <v>40</v>
      </c>
      <c r="E87" s="199" t="s">
        <v>189</v>
      </c>
      <c r="F87" s="199"/>
      <c r="G87" s="199"/>
      <c r="H87" s="199"/>
      <c r="I87" s="199"/>
      <c r="J87" s="200"/>
    </row>
    <row r="88" spans="1:11" ht="28.5" x14ac:dyDescent="0.2">
      <c r="A88" s="242"/>
      <c r="B88" s="110">
        <v>343</v>
      </c>
      <c r="C88" s="133" t="s">
        <v>24</v>
      </c>
      <c r="D88" s="111" t="s">
        <v>50</v>
      </c>
      <c r="E88" s="113">
        <v>165</v>
      </c>
      <c r="F88" s="113" t="s">
        <v>40</v>
      </c>
      <c r="G88" s="113" t="s">
        <v>40</v>
      </c>
      <c r="H88" s="113" t="s">
        <v>40</v>
      </c>
      <c r="I88" s="113" t="s">
        <v>40</v>
      </c>
      <c r="J88" s="114">
        <v>15</v>
      </c>
    </row>
    <row r="89" spans="1:11" ht="42.75" customHeight="1" x14ac:dyDescent="0.2">
      <c r="A89" s="242"/>
      <c r="B89" s="283">
        <v>344</v>
      </c>
      <c r="C89" s="286" t="s">
        <v>25</v>
      </c>
      <c r="D89" s="134" t="s">
        <v>54</v>
      </c>
      <c r="E89" s="70">
        <f>553/2</f>
        <v>276.5</v>
      </c>
      <c r="F89" s="70" t="s">
        <v>40</v>
      </c>
      <c r="G89" s="70" t="s">
        <v>40</v>
      </c>
      <c r="H89" s="70" t="s">
        <v>40</v>
      </c>
      <c r="I89" s="70" t="s">
        <v>40</v>
      </c>
      <c r="J89" s="75">
        <v>5</v>
      </c>
    </row>
    <row r="90" spans="1:11" ht="42.75" x14ac:dyDescent="0.2">
      <c r="A90" s="242"/>
      <c r="B90" s="284"/>
      <c r="C90" s="287"/>
      <c r="D90" s="135" t="s">
        <v>55</v>
      </c>
      <c r="E90" s="72">
        <f>231+217</f>
        <v>448</v>
      </c>
      <c r="F90" s="72" t="s">
        <v>40</v>
      </c>
      <c r="G90" s="72" t="s">
        <v>40</v>
      </c>
      <c r="H90" s="72" t="s">
        <v>40</v>
      </c>
      <c r="I90" s="72" t="s">
        <v>40</v>
      </c>
      <c r="J90" s="92">
        <v>1</v>
      </c>
    </row>
    <row r="91" spans="1:11" ht="42.75" x14ac:dyDescent="0.2">
      <c r="A91" s="242"/>
      <c r="B91" s="285"/>
      <c r="C91" s="288"/>
      <c r="D91" s="136" t="s">
        <v>56</v>
      </c>
      <c r="E91" s="73">
        <f>E89</f>
        <v>276.5</v>
      </c>
      <c r="F91" s="73" t="s">
        <v>40</v>
      </c>
      <c r="G91" s="73" t="s">
        <v>40</v>
      </c>
      <c r="H91" s="73" t="s">
        <v>40</v>
      </c>
      <c r="I91" s="73" t="s">
        <v>40</v>
      </c>
      <c r="J91" s="77">
        <v>5</v>
      </c>
    </row>
    <row r="92" spans="1:11" x14ac:dyDescent="0.2">
      <c r="A92" s="242" t="s">
        <v>132</v>
      </c>
      <c r="B92" s="256">
        <v>351</v>
      </c>
      <c r="C92" s="259" t="s">
        <v>26</v>
      </c>
      <c r="D92" s="137" t="s">
        <v>53</v>
      </c>
      <c r="E92" s="70">
        <v>76</v>
      </c>
      <c r="F92" s="70" t="s">
        <v>40</v>
      </c>
      <c r="G92" s="70" t="s">
        <v>40</v>
      </c>
      <c r="H92" s="70" t="s">
        <v>40</v>
      </c>
      <c r="I92" s="70" t="s">
        <v>40</v>
      </c>
      <c r="J92" s="75">
        <v>1</v>
      </c>
    </row>
    <row r="93" spans="1:11" ht="42.75" x14ac:dyDescent="0.2">
      <c r="A93" s="242"/>
      <c r="B93" s="257"/>
      <c r="C93" s="260"/>
      <c r="D93" s="177" t="s">
        <v>190</v>
      </c>
      <c r="E93" s="222" t="s">
        <v>76</v>
      </c>
      <c r="F93" s="222"/>
      <c r="G93" s="222"/>
      <c r="H93" s="222"/>
      <c r="I93" s="222"/>
      <c r="J93" s="223"/>
    </row>
    <row r="94" spans="1:11" ht="28.5" x14ac:dyDescent="0.2">
      <c r="A94" s="242"/>
      <c r="B94" s="258"/>
      <c r="C94" s="261"/>
      <c r="D94" s="177" t="s">
        <v>191</v>
      </c>
      <c r="E94" s="224" t="s">
        <v>76</v>
      </c>
      <c r="F94" s="224"/>
      <c r="G94" s="224"/>
      <c r="H94" s="224"/>
      <c r="I94" s="224"/>
      <c r="J94" s="225"/>
    </row>
    <row r="95" spans="1:11" ht="43.5" customHeight="1" x14ac:dyDescent="0.2">
      <c r="A95" s="242"/>
      <c r="B95" s="108">
        <v>352</v>
      </c>
      <c r="C95" s="138" t="s">
        <v>27</v>
      </c>
      <c r="D95" s="132" t="s">
        <v>40</v>
      </c>
      <c r="E95" s="226" t="s">
        <v>79</v>
      </c>
      <c r="F95" s="226"/>
      <c r="G95" s="226"/>
      <c r="H95" s="226"/>
      <c r="I95" s="226"/>
      <c r="J95" s="227"/>
      <c r="K95" s="162"/>
    </row>
    <row r="96" spans="1:11" ht="85.5" x14ac:dyDescent="0.2">
      <c r="A96" s="242"/>
      <c r="B96" s="108">
        <v>353</v>
      </c>
      <c r="C96" s="109" t="s">
        <v>41</v>
      </c>
      <c r="D96" s="109" t="s">
        <v>40</v>
      </c>
      <c r="E96" s="199" t="s">
        <v>77</v>
      </c>
      <c r="F96" s="199"/>
      <c r="G96" s="199"/>
      <c r="H96" s="199"/>
      <c r="I96" s="199"/>
      <c r="J96" s="200"/>
      <c r="K96" s="162"/>
    </row>
    <row r="97" spans="1:13" s="14" customFormat="1" ht="46.5" customHeight="1" x14ac:dyDescent="0.25">
      <c r="A97" s="242"/>
      <c r="B97" s="108">
        <v>354</v>
      </c>
      <c r="C97" s="109" t="s">
        <v>28</v>
      </c>
      <c r="D97" s="109" t="s">
        <v>40</v>
      </c>
      <c r="E97" s="199" t="s">
        <v>77</v>
      </c>
      <c r="F97" s="199"/>
      <c r="G97" s="199"/>
      <c r="H97" s="199"/>
      <c r="I97" s="199"/>
      <c r="J97" s="200"/>
      <c r="K97" s="167"/>
    </row>
    <row r="98" spans="1:13" x14ac:dyDescent="0.2">
      <c r="A98" s="5"/>
      <c r="B98" s="5"/>
      <c r="C98" s="5"/>
      <c r="D98" s="11"/>
      <c r="E98" s="5"/>
      <c r="F98" s="5"/>
      <c r="G98" s="5"/>
      <c r="H98" s="5"/>
      <c r="I98" s="5"/>
      <c r="J98" s="35"/>
    </row>
    <row r="99" spans="1:13" s="34" customFormat="1" ht="15.75" x14ac:dyDescent="0.25">
      <c r="A99" s="31" t="s">
        <v>126</v>
      </c>
      <c r="B99" s="22"/>
      <c r="C99" s="31"/>
      <c r="D99" s="32"/>
      <c r="E99" s="22"/>
      <c r="F99" s="22"/>
      <c r="G99" s="22"/>
      <c r="H99" s="22"/>
      <c r="I99" s="22"/>
      <c r="J99" s="41"/>
      <c r="K99" s="156"/>
      <c r="L99" s="168"/>
    </row>
    <row r="100" spans="1:13" x14ac:dyDescent="0.2">
      <c r="A100" s="243" t="s">
        <v>142</v>
      </c>
      <c r="B100" s="243" t="s">
        <v>143</v>
      </c>
      <c r="C100" s="243"/>
      <c r="D100" s="274" t="s">
        <v>144</v>
      </c>
      <c r="E100" s="275" t="s">
        <v>149</v>
      </c>
      <c r="F100" s="275"/>
      <c r="G100" s="275"/>
      <c r="H100" s="275"/>
      <c r="I100" s="30"/>
      <c r="J100" s="217" t="str">
        <f>J71</f>
        <v>Durée considérée (valeur en années)</v>
      </c>
      <c r="K100" s="150"/>
    </row>
    <row r="101" spans="1:13" ht="41.25" customHeight="1" x14ac:dyDescent="0.2">
      <c r="A101" s="243"/>
      <c r="B101" s="243"/>
      <c r="C101" s="243"/>
      <c r="D101" s="274"/>
      <c r="E101" s="27" t="s">
        <v>145</v>
      </c>
      <c r="F101" s="27" t="s">
        <v>146</v>
      </c>
      <c r="G101" s="27" t="s">
        <v>148</v>
      </c>
      <c r="H101" s="27" t="s">
        <v>147</v>
      </c>
      <c r="I101" s="27" t="s">
        <v>168</v>
      </c>
      <c r="J101" s="217"/>
    </row>
    <row r="102" spans="1:13" ht="70.5" customHeight="1" x14ac:dyDescent="0.3">
      <c r="A102" s="242" t="s">
        <v>133</v>
      </c>
      <c r="B102" s="126">
        <v>411</v>
      </c>
      <c r="C102" s="315" t="s">
        <v>29</v>
      </c>
      <c r="D102" s="316" t="s">
        <v>84</v>
      </c>
      <c r="E102" s="317">
        <v>1990.76911174363</v>
      </c>
      <c r="F102" s="317">
        <f>26368.8305579441/J102</f>
        <v>1757.9220371962733</v>
      </c>
      <c r="G102" s="317">
        <f>42585.7246024901/J102</f>
        <v>2839.0483068326735</v>
      </c>
      <c r="H102" s="317">
        <f>2591.41164591112/J102</f>
        <v>172.76077639407467</v>
      </c>
      <c r="I102" s="317">
        <f>(G102+H102)-F102</f>
        <v>1253.8870460304747</v>
      </c>
      <c r="J102" s="318">
        <v>15</v>
      </c>
      <c r="K102" s="198"/>
    </row>
    <row r="103" spans="1:13" ht="66" customHeight="1" x14ac:dyDescent="0.3">
      <c r="A103" s="242"/>
      <c r="B103" s="126">
        <v>412</v>
      </c>
      <c r="C103" s="315" t="s">
        <v>30</v>
      </c>
      <c r="D103" s="316" t="s">
        <v>85</v>
      </c>
      <c r="E103" s="317">
        <v>2765.9656977671402</v>
      </c>
      <c r="F103" s="317">
        <f>34731.0359883317/J103</f>
        <v>2315.4023992221132</v>
      </c>
      <c r="G103" s="317">
        <f>55168.5312720818/J103</f>
        <v>3677.9020848054529</v>
      </c>
      <c r="H103" s="317">
        <f>1599.77489212265/J103</f>
        <v>106.65165947484334</v>
      </c>
      <c r="I103" s="317">
        <f>(G103+H103)-F103</f>
        <v>1469.1513450581829</v>
      </c>
      <c r="J103" s="318">
        <v>15</v>
      </c>
      <c r="K103" s="198"/>
    </row>
    <row r="104" spans="1:13" ht="57" x14ac:dyDescent="0.3">
      <c r="A104" s="242" t="s">
        <v>153</v>
      </c>
      <c r="B104" s="126">
        <v>421</v>
      </c>
      <c r="C104" s="315" t="s">
        <v>31</v>
      </c>
      <c r="D104" s="315" t="s">
        <v>94</v>
      </c>
      <c r="E104" s="317">
        <v>34072.706800784988</v>
      </c>
      <c r="F104" s="317">
        <f>15685.7747426407/J104</f>
        <v>1045.7183161760468</v>
      </c>
      <c r="G104" s="317">
        <f>37379.232/J104</f>
        <v>2491.9488000000001</v>
      </c>
      <c r="H104" s="317">
        <f>6462.666/J104</f>
        <v>430.84440000000001</v>
      </c>
      <c r="I104" s="317">
        <f>(G104+H104)-F104</f>
        <v>1877.0748838239533</v>
      </c>
      <c r="J104" s="318">
        <v>15</v>
      </c>
      <c r="K104" s="198"/>
    </row>
    <row r="105" spans="1:13" ht="42.75" x14ac:dyDescent="0.3">
      <c r="A105" s="242"/>
      <c r="B105" s="126">
        <v>423</v>
      </c>
      <c r="C105" s="127" t="s">
        <v>32</v>
      </c>
      <c r="D105" s="127" t="s">
        <v>136</v>
      </c>
      <c r="E105" s="189">
        <v>613.16695701900005</v>
      </c>
      <c r="F105" s="189">
        <v>0</v>
      </c>
      <c r="G105" s="189">
        <v>1706.4432000000002</v>
      </c>
      <c r="H105" s="189">
        <v>0</v>
      </c>
      <c r="I105" s="189">
        <v>1706.4432000000002</v>
      </c>
      <c r="J105" s="190">
        <v>15</v>
      </c>
      <c r="K105" s="198"/>
    </row>
    <row r="106" spans="1:13" ht="57" x14ac:dyDescent="0.2">
      <c r="A106" s="242" t="s">
        <v>134</v>
      </c>
      <c r="B106" s="50">
        <v>431</v>
      </c>
      <c r="C106" s="64" t="s">
        <v>33</v>
      </c>
      <c r="D106" s="52" t="s">
        <v>86</v>
      </c>
      <c r="E106" s="53">
        <f>3178041</f>
        <v>3178041</v>
      </c>
      <c r="F106" s="53">
        <f>3153863/55</f>
        <v>57342.963636363638</v>
      </c>
      <c r="G106" s="53">
        <f>31083289/J106</f>
        <v>565150.70909090911</v>
      </c>
      <c r="H106" s="184" t="s">
        <v>193</v>
      </c>
      <c r="I106" s="53">
        <f>G106-F106</f>
        <v>507807.74545454548</v>
      </c>
      <c r="J106" s="139">
        <v>55</v>
      </c>
      <c r="L106" s="180"/>
      <c r="M106" s="182"/>
    </row>
    <row r="107" spans="1:13" ht="42.75" x14ac:dyDescent="0.2">
      <c r="A107" s="242"/>
      <c r="B107" s="50">
        <v>432</v>
      </c>
      <c r="C107" s="64" t="s">
        <v>34</v>
      </c>
      <c r="D107" s="119" t="s">
        <v>87</v>
      </c>
      <c r="E107" s="113">
        <f>573</f>
        <v>573</v>
      </c>
      <c r="F107" s="113">
        <f>1550/J107</f>
        <v>73.80952380952381</v>
      </c>
      <c r="G107" s="113">
        <f>997/J107</f>
        <v>47.476190476190474</v>
      </c>
      <c r="H107" s="184" t="s">
        <v>193</v>
      </c>
      <c r="I107" s="113">
        <f>G107-F107</f>
        <v>-26.333333333333336</v>
      </c>
      <c r="J107" s="140">
        <v>21</v>
      </c>
      <c r="M107" s="182"/>
    </row>
    <row r="108" spans="1:13" ht="42.75" x14ac:dyDescent="0.2">
      <c r="A108" s="242"/>
      <c r="B108" s="50">
        <v>433</v>
      </c>
      <c r="C108" s="64" t="s">
        <v>35</v>
      </c>
      <c r="D108" s="64" t="s">
        <v>88</v>
      </c>
      <c r="E108" s="53">
        <f>134</f>
        <v>134</v>
      </c>
      <c r="F108" s="53">
        <f>88/J108</f>
        <v>2.3783783783783785</v>
      </c>
      <c r="G108" s="53">
        <f>1280/J108</f>
        <v>34.594594594594597</v>
      </c>
      <c r="H108" s="184" t="s">
        <v>193</v>
      </c>
      <c r="I108" s="53">
        <f>G108-F108</f>
        <v>32.216216216216218</v>
      </c>
      <c r="J108" s="139">
        <v>37</v>
      </c>
      <c r="K108" s="151">
        <v>6462.6660000000002</v>
      </c>
      <c r="M108" s="179"/>
    </row>
    <row r="109" spans="1:13" ht="28.5" x14ac:dyDescent="0.2">
      <c r="A109" s="242" t="s">
        <v>135</v>
      </c>
      <c r="B109" s="110">
        <v>441</v>
      </c>
      <c r="C109" s="133" t="s">
        <v>36</v>
      </c>
      <c r="D109" s="133" t="s">
        <v>97</v>
      </c>
      <c r="E109" s="113">
        <v>19698</v>
      </c>
      <c r="F109" s="113">
        <f>12000/J109</f>
        <v>500</v>
      </c>
      <c r="G109" s="113">
        <f>137025/J109</f>
        <v>5709.375</v>
      </c>
      <c r="H109" s="184" t="s">
        <v>193</v>
      </c>
      <c r="I109" s="53">
        <f>G109-F109</f>
        <v>5209.375</v>
      </c>
      <c r="J109" s="140">
        <v>24</v>
      </c>
      <c r="M109" s="179"/>
    </row>
    <row r="110" spans="1:13" ht="42.75" x14ac:dyDescent="0.2">
      <c r="A110" s="242"/>
      <c r="B110" s="256">
        <v>442</v>
      </c>
      <c r="C110" s="259" t="s">
        <v>37</v>
      </c>
      <c r="D110" s="141" t="s">
        <v>80</v>
      </c>
      <c r="E110" s="70">
        <f>70</f>
        <v>70</v>
      </c>
      <c r="F110" s="196">
        <v>0</v>
      </c>
      <c r="G110" s="196">
        <v>0</v>
      </c>
      <c r="H110" s="70">
        <f>787/J110</f>
        <v>52.466666666666669</v>
      </c>
      <c r="I110" s="70">
        <f>H110</f>
        <v>52.466666666666669</v>
      </c>
      <c r="J110" s="142">
        <v>15</v>
      </c>
      <c r="M110" s="182"/>
    </row>
    <row r="111" spans="1:13" ht="42.75" x14ac:dyDescent="0.2">
      <c r="A111" s="242"/>
      <c r="B111" s="258"/>
      <c r="C111" s="261"/>
      <c r="D111" s="143" t="s">
        <v>81</v>
      </c>
      <c r="E111" s="73">
        <f>9182</f>
        <v>9182</v>
      </c>
      <c r="F111" s="73">
        <f>94035/16</f>
        <v>5877.1875</v>
      </c>
      <c r="G111" s="73">
        <f>79800/16</f>
        <v>4987.5</v>
      </c>
      <c r="H111" s="73">
        <f>22259/16</f>
        <v>1391.1875</v>
      </c>
      <c r="I111" s="73">
        <f>H111+G111-F111</f>
        <v>501.5</v>
      </c>
      <c r="J111" s="144">
        <v>16</v>
      </c>
      <c r="M111" s="162"/>
    </row>
    <row r="112" spans="1:13" ht="42.75" x14ac:dyDescent="0.2">
      <c r="A112" s="242"/>
      <c r="B112" s="108">
        <v>443</v>
      </c>
      <c r="C112" s="109" t="s">
        <v>38</v>
      </c>
      <c r="D112" s="132" t="s">
        <v>40</v>
      </c>
      <c r="E112" s="199" t="s">
        <v>68</v>
      </c>
      <c r="F112" s="199"/>
      <c r="G112" s="199"/>
      <c r="H112" s="199"/>
      <c r="I112" s="199"/>
      <c r="J112" s="200"/>
    </row>
  </sheetData>
  <mergeCells count="134">
    <mergeCell ref="D71:D72"/>
    <mergeCell ref="E71:H71"/>
    <mergeCell ref="E80:J80"/>
    <mergeCell ref="E81:J81"/>
    <mergeCell ref="E82:J82"/>
    <mergeCell ref="E83:J83"/>
    <mergeCell ref="E84:J84"/>
    <mergeCell ref="A102:A103"/>
    <mergeCell ref="A104:A105"/>
    <mergeCell ref="E96:J96"/>
    <mergeCell ref="E97:J97"/>
    <mergeCell ref="D100:D101"/>
    <mergeCell ref="E100:H100"/>
    <mergeCell ref="J100:J101"/>
    <mergeCell ref="A106:A108"/>
    <mergeCell ref="A109:A112"/>
    <mergeCell ref="B75:B77"/>
    <mergeCell ref="C75:C77"/>
    <mergeCell ref="B110:B111"/>
    <mergeCell ref="C110:C111"/>
    <mergeCell ref="B85:B86"/>
    <mergeCell ref="C85:C86"/>
    <mergeCell ref="B89:B91"/>
    <mergeCell ref="C89:C91"/>
    <mergeCell ref="B92:B94"/>
    <mergeCell ref="C92:C94"/>
    <mergeCell ref="A100:A101"/>
    <mergeCell ref="B100:C101"/>
    <mergeCell ref="A73:A78"/>
    <mergeCell ref="A79:A80"/>
    <mergeCell ref="A81:A84"/>
    <mergeCell ref="A85:A91"/>
    <mergeCell ref="A92:A97"/>
    <mergeCell ref="B73:B74"/>
    <mergeCell ref="C73:C74"/>
    <mergeCell ref="J6:J7"/>
    <mergeCell ref="A25:A27"/>
    <mergeCell ref="A32:A41"/>
    <mergeCell ref="A42:A47"/>
    <mergeCell ref="A48:A57"/>
    <mergeCell ref="A30:A31"/>
    <mergeCell ref="B30:C31"/>
    <mergeCell ref="D30:D31"/>
    <mergeCell ref="E30:H30"/>
    <mergeCell ref="J30:J31"/>
    <mergeCell ref="A20:A24"/>
    <mergeCell ref="E6:H6"/>
    <mergeCell ref="D6:D7"/>
    <mergeCell ref="A6:A7"/>
    <mergeCell ref="B6:C7"/>
    <mergeCell ref="B8:B15"/>
    <mergeCell ref="J36:J39"/>
    <mergeCell ref="C8:C15"/>
    <mergeCell ref="A8:A18"/>
    <mergeCell ref="B32:B33"/>
    <mergeCell ref="C32:C33"/>
    <mergeCell ref="B34:B35"/>
    <mergeCell ref="C34:C35"/>
    <mergeCell ref="C25:C27"/>
    <mergeCell ref="B25:B27"/>
    <mergeCell ref="B20:B22"/>
    <mergeCell ref="C20:C22"/>
    <mergeCell ref="B46:B47"/>
    <mergeCell ref="C46:C47"/>
    <mergeCell ref="B48:B51"/>
    <mergeCell ref="C48:C51"/>
    <mergeCell ref="B52:B53"/>
    <mergeCell ref="C52:C53"/>
    <mergeCell ref="B36:B39"/>
    <mergeCell ref="C36:C39"/>
    <mergeCell ref="B40:B41"/>
    <mergeCell ref="C40:C41"/>
    <mergeCell ref="B43:B45"/>
    <mergeCell ref="C43:C45"/>
    <mergeCell ref="B62:B64"/>
    <mergeCell ref="C62:C64"/>
    <mergeCell ref="A58:A60"/>
    <mergeCell ref="A62:A68"/>
    <mergeCell ref="B71:C72"/>
    <mergeCell ref="B65:B67"/>
    <mergeCell ref="C65:C67"/>
    <mergeCell ref="B54:B55"/>
    <mergeCell ref="C54:C55"/>
    <mergeCell ref="B56:B57"/>
    <mergeCell ref="C56:C57"/>
    <mergeCell ref="B59:B60"/>
    <mergeCell ref="C59:C60"/>
    <mergeCell ref="A71:A72"/>
    <mergeCell ref="E18:J18"/>
    <mergeCell ref="E44:J44"/>
    <mergeCell ref="E45:J45"/>
    <mergeCell ref="E47:J47"/>
    <mergeCell ref="E48:E50"/>
    <mergeCell ref="F48:F50"/>
    <mergeCell ref="G48:G50"/>
    <mergeCell ref="H48:H50"/>
    <mergeCell ref="J48:J50"/>
    <mergeCell ref="J32:J33"/>
    <mergeCell ref="E34:E35"/>
    <mergeCell ref="J34:J35"/>
    <mergeCell ref="E32:E33"/>
    <mergeCell ref="F34:F35"/>
    <mergeCell ref="G34:G35"/>
    <mergeCell ref="H34:H35"/>
    <mergeCell ref="I34:I35"/>
    <mergeCell ref="F32:F33"/>
    <mergeCell ref="G32:G33"/>
    <mergeCell ref="H32:H33"/>
    <mergeCell ref="I32:I33"/>
    <mergeCell ref="I48:I50"/>
    <mergeCell ref="E112:J112"/>
    <mergeCell ref="E51:J51"/>
    <mergeCell ref="E53:J53"/>
    <mergeCell ref="E52:J52"/>
    <mergeCell ref="E54:J54"/>
    <mergeCell ref="E56:J56"/>
    <mergeCell ref="E65:J65"/>
    <mergeCell ref="E62:J62"/>
    <mergeCell ref="E68:J68"/>
    <mergeCell ref="E79:J79"/>
    <mergeCell ref="E63:E64"/>
    <mergeCell ref="F63:F64"/>
    <mergeCell ref="G63:G64"/>
    <mergeCell ref="H63:H64"/>
    <mergeCell ref="I63:I64"/>
    <mergeCell ref="J63:J64"/>
    <mergeCell ref="J71:J72"/>
    <mergeCell ref="E66:J66"/>
    <mergeCell ref="E85:J85"/>
    <mergeCell ref="E86:J86"/>
    <mergeCell ref="E87:J87"/>
    <mergeCell ref="E93:J93"/>
    <mergeCell ref="E94:J94"/>
    <mergeCell ref="E95:J95"/>
  </mergeCells>
  <pageMargins left="0.70866141732283472" right="0.70866141732283472" top="0.74803149606299213" bottom="0.74803149606299213" header="0.31496062992125984" footer="0.31496062992125984"/>
  <pageSetup paperSize="9" scale="62" fitToHeight="4"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Légende</vt:lpstr>
      <vt:lpstr>Bilan ACB</vt:lpstr>
      <vt:lpstr>'Bilan ACB'!Print_Area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Christine Langevin</dc:creator>
  <cp:lastModifiedBy>Elina Vaananen</cp:lastModifiedBy>
  <cp:lastPrinted>2015-11-15T22:03:04Z</cp:lastPrinted>
  <dcterms:created xsi:type="dcterms:W3CDTF">2015-05-20T08:49:54Z</dcterms:created>
  <dcterms:modified xsi:type="dcterms:W3CDTF">2016-02-04T16:07:56Z</dcterms:modified>
</cp:coreProperties>
</file>