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210" windowWidth="19430" windowHeight="4530" tabRatio="913" firstSheet="18" activeTab="19"/>
  </bookViews>
  <sheets>
    <sheet name="Consl List" sheetId="25" state="hidden" r:id="rId1"/>
    <sheet name="Consl - Countries" sheetId="24" state="hidden" r:id="rId2"/>
    <sheet name="Global" sheetId="20" state="hidden" r:id="rId3"/>
    <sheet name="Consl  Budget" sheetId="44" state="hidden" r:id="rId4"/>
    <sheet name="List by Agency" sheetId="45" state="hidden" r:id="rId5"/>
    <sheet name="Presup. por resultado y agencia" sheetId="53" r:id="rId6"/>
    <sheet name="Presupuesto consolidado" sheetId="52" r:id="rId7"/>
    <sheet name="Comparativo 2019" sheetId="54" r:id="rId8"/>
    <sheet name="Colombia" sheetId="33" r:id="rId9"/>
    <sheet name="Costa de Marfil" sheetId="27" r:id="rId10"/>
    <sheet name="Indonesia" sheetId="30" r:id="rId11"/>
    <sheet name="México" sheetId="34" r:id="rId12"/>
    <sheet name="Myanmar" sheetId="31" r:id="rId13"/>
    <sheet name="Perú" sheetId="50" r:id="rId14"/>
    <sheet name="Rep. de Congo" sheetId="28" r:id="rId15"/>
    <sheet name="Viet Nam" sheetId="32" r:id="rId16"/>
    <sheet name="Zambia" sheetId="29" r:id="rId17"/>
    <sheet name="Enfoque territorial" sheetId="36" r:id="rId18"/>
    <sheet name="Financiación y sector privado" sheetId="38" r:id="rId19"/>
    <sheet name="Tenencia-derechos PI" sheetId="37" r:id="rId20"/>
    <sheet name="NFMS" sheetId="39" r:id="rId21"/>
    <sheet name="Sheet1" sheetId="46" state="hidden" r:id="rId22"/>
    <sheet name="Sheet3" sheetId="48" state="hidden" r:id="rId23"/>
    <sheet name="Acuerdo de París y ODS" sheetId="57" r:id="rId24"/>
    <sheet name="Mecanismo de financ. REDD+ " sheetId="56" r:id="rId25"/>
    <sheet name="Temas transversales y comunica." sheetId="43"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Funding" localSheetId="0">[1]Sheet2!$D$4:$D$7</definedName>
    <definedName name="Funding" localSheetId="4">[1]Sheet2!$D$4:$D$7</definedName>
    <definedName name="Funding" localSheetId="13">[2]Sheet2!$D$4:$D$7</definedName>
    <definedName name="Funding">[2]Sheet2!$D$4:$D$7</definedName>
    <definedName name="none" localSheetId="23">#REF!</definedName>
    <definedName name="none" localSheetId="8">#REF!</definedName>
    <definedName name="none" localSheetId="3">#REF!</definedName>
    <definedName name="none" localSheetId="1">#REF!</definedName>
    <definedName name="none" localSheetId="0">#REF!</definedName>
    <definedName name="none" localSheetId="17">#REF!</definedName>
    <definedName name="none" localSheetId="18">#REF!</definedName>
    <definedName name="none" localSheetId="2">#REF!</definedName>
    <definedName name="none" localSheetId="10">#REF!</definedName>
    <definedName name="none" localSheetId="4">#REF!</definedName>
    <definedName name="none" localSheetId="24">#REF!</definedName>
    <definedName name="none" localSheetId="11">#REF!</definedName>
    <definedName name="none" localSheetId="12">#REF!</definedName>
    <definedName name="none" localSheetId="20">#REF!</definedName>
    <definedName name="none" localSheetId="13">#REF!</definedName>
    <definedName name="none" localSheetId="14">#REF!</definedName>
    <definedName name="none" localSheetId="25">#REF!</definedName>
    <definedName name="none" localSheetId="19">#REF!</definedName>
    <definedName name="none" localSheetId="15">#REF!</definedName>
    <definedName name="none" localSheetId="16">#REF!</definedName>
    <definedName name="none">#REF!</definedName>
    <definedName name="Output1" localSheetId="23">#REF!</definedName>
    <definedName name="Output1" localSheetId="8">#REF!</definedName>
    <definedName name="Output1" localSheetId="3">#REF!</definedName>
    <definedName name="Output1" localSheetId="1">#REF!</definedName>
    <definedName name="Output1" localSheetId="0">#REF!</definedName>
    <definedName name="Output1" localSheetId="17">#REF!</definedName>
    <definedName name="Output1" localSheetId="18">#REF!</definedName>
    <definedName name="Output1" localSheetId="2">#REF!</definedName>
    <definedName name="Output1" localSheetId="10">#REF!</definedName>
    <definedName name="Output1" localSheetId="4">#REF!</definedName>
    <definedName name="Output1" localSheetId="24">#REF!</definedName>
    <definedName name="Output1" localSheetId="11">#REF!</definedName>
    <definedName name="Output1" localSheetId="12">#REF!</definedName>
    <definedName name="Output1" localSheetId="20">#REF!</definedName>
    <definedName name="Output1" localSheetId="13">#REF!</definedName>
    <definedName name="Output1" localSheetId="14">#REF!</definedName>
    <definedName name="Output1" localSheetId="25">#REF!</definedName>
    <definedName name="Output1" localSheetId="19">#REF!</definedName>
    <definedName name="Output1" localSheetId="15">#REF!</definedName>
    <definedName name="Output1" localSheetId="16">#REF!</definedName>
    <definedName name="Output1">#REF!</definedName>
    <definedName name="Output1_2" localSheetId="23">#REF!</definedName>
    <definedName name="Output1_2" localSheetId="8">#REF!</definedName>
    <definedName name="Output1_2" localSheetId="3">#REF!</definedName>
    <definedName name="Output1_2" localSheetId="1">#REF!</definedName>
    <definedName name="Output1_2" localSheetId="0">#REF!</definedName>
    <definedName name="Output1_2" localSheetId="17">#REF!</definedName>
    <definedName name="Output1_2" localSheetId="18">#REF!</definedName>
    <definedName name="Output1_2" localSheetId="2">#REF!</definedName>
    <definedName name="Output1_2" localSheetId="10">#REF!</definedName>
    <definedName name="Output1_2" localSheetId="4">#REF!</definedName>
    <definedName name="Output1_2" localSheetId="24">#REF!</definedName>
    <definedName name="Output1_2" localSheetId="11">#REF!</definedName>
    <definedName name="Output1_2" localSheetId="12">#REF!</definedName>
    <definedName name="Output1_2" localSheetId="20">#REF!</definedName>
    <definedName name="Output1_2" localSheetId="13">#REF!</definedName>
    <definedName name="Output1_2" localSheetId="14">#REF!</definedName>
    <definedName name="Output1_2" localSheetId="25">#REF!</definedName>
    <definedName name="Output1_2" localSheetId="19">#REF!</definedName>
    <definedName name="Output1_2" localSheetId="15">#REF!</definedName>
    <definedName name="Output1_2" localSheetId="16">#REF!</definedName>
    <definedName name="Output1_2">#REF!</definedName>
    <definedName name="Output2" localSheetId="23">#REF!</definedName>
    <definedName name="Output2" localSheetId="8">#REF!</definedName>
    <definedName name="Output2" localSheetId="3">#REF!</definedName>
    <definedName name="Output2" localSheetId="1">#REF!</definedName>
    <definedName name="Output2" localSheetId="0">#REF!</definedName>
    <definedName name="Output2" localSheetId="17">#REF!</definedName>
    <definedName name="Output2" localSheetId="18">#REF!</definedName>
    <definedName name="Output2" localSheetId="2">#REF!</definedName>
    <definedName name="Output2" localSheetId="10">#REF!</definedName>
    <definedName name="Output2" localSheetId="4">#REF!</definedName>
    <definedName name="Output2" localSheetId="24">#REF!</definedName>
    <definedName name="Output2" localSheetId="11">#REF!</definedName>
    <definedName name="Output2" localSheetId="12">#REF!</definedName>
    <definedName name="Output2" localSheetId="20">#REF!</definedName>
    <definedName name="Output2" localSheetId="13">#REF!</definedName>
    <definedName name="Output2" localSheetId="14">#REF!</definedName>
    <definedName name="Output2" localSheetId="25">#REF!</definedName>
    <definedName name="Output2" localSheetId="19">#REF!</definedName>
    <definedName name="Output2" localSheetId="15">#REF!</definedName>
    <definedName name="Output2" localSheetId="16">#REF!</definedName>
    <definedName name="Output2">#REF!</definedName>
    <definedName name="Output2_2" localSheetId="23">#REF!</definedName>
    <definedName name="Output2_2" localSheetId="8">#REF!</definedName>
    <definedName name="Output2_2" localSheetId="3">#REF!</definedName>
    <definedName name="Output2_2" localSheetId="1">#REF!</definedName>
    <definedName name="Output2_2" localSheetId="0">#REF!</definedName>
    <definedName name="Output2_2" localSheetId="17">#REF!</definedName>
    <definedName name="Output2_2" localSheetId="18">#REF!</definedName>
    <definedName name="Output2_2" localSheetId="2">#REF!</definedName>
    <definedName name="Output2_2" localSheetId="10">#REF!</definedName>
    <definedName name="Output2_2" localSheetId="4">#REF!</definedName>
    <definedName name="Output2_2" localSheetId="24">#REF!</definedName>
    <definedName name="Output2_2" localSheetId="11">#REF!</definedName>
    <definedName name="Output2_2" localSheetId="12">#REF!</definedName>
    <definedName name="Output2_2" localSheetId="20">#REF!</definedName>
    <definedName name="Output2_2" localSheetId="13">#REF!</definedName>
    <definedName name="Output2_2" localSheetId="14">#REF!</definedName>
    <definedName name="Output2_2" localSheetId="25">#REF!</definedName>
    <definedName name="Output2_2" localSheetId="19">#REF!</definedName>
    <definedName name="Output2_2" localSheetId="15">#REF!</definedName>
    <definedName name="Output2_2" localSheetId="16">#REF!</definedName>
    <definedName name="Output2_2">#REF!</definedName>
    <definedName name="Output3" localSheetId="23">#REF!</definedName>
    <definedName name="Output3" localSheetId="8">#REF!</definedName>
    <definedName name="Output3" localSheetId="3">#REF!</definedName>
    <definedName name="Output3" localSheetId="1">#REF!</definedName>
    <definedName name="Output3" localSheetId="0">#REF!</definedName>
    <definedName name="Output3" localSheetId="17">#REF!</definedName>
    <definedName name="Output3" localSheetId="18">#REF!</definedName>
    <definedName name="Output3" localSheetId="2">#REF!</definedName>
    <definedName name="Output3" localSheetId="10">#REF!</definedName>
    <definedName name="Output3" localSheetId="4">#REF!</definedName>
    <definedName name="Output3" localSheetId="24">#REF!</definedName>
    <definedName name="Output3" localSheetId="11">#REF!</definedName>
    <definedName name="Output3" localSheetId="12">#REF!</definedName>
    <definedName name="Output3" localSheetId="20">#REF!</definedName>
    <definedName name="Output3" localSheetId="13">#REF!</definedName>
    <definedName name="Output3" localSheetId="14">#REF!</definedName>
    <definedName name="Output3" localSheetId="25">#REF!</definedName>
    <definedName name="Output3" localSheetId="19">#REF!</definedName>
    <definedName name="Output3" localSheetId="15">#REF!</definedName>
    <definedName name="Output3" localSheetId="16">#REF!</definedName>
    <definedName name="Output3">#REF!</definedName>
    <definedName name="Output3_2" localSheetId="23">#REF!</definedName>
    <definedName name="Output3_2" localSheetId="8">#REF!</definedName>
    <definedName name="Output3_2" localSheetId="3">#REF!</definedName>
    <definedName name="Output3_2" localSheetId="1">#REF!</definedName>
    <definedName name="Output3_2" localSheetId="0">#REF!</definedName>
    <definedName name="Output3_2" localSheetId="17">#REF!</definedName>
    <definedName name="Output3_2" localSheetId="18">#REF!</definedName>
    <definedName name="Output3_2" localSheetId="2">#REF!</definedName>
    <definedName name="Output3_2" localSheetId="10">#REF!</definedName>
    <definedName name="Output3_2" localSheetId="4">#REF!</definedName>
    <definedName name="Output3_2" localSheetId="24">#REF!</definedName>
    <definedName name="Output3_2" localSheetId="11">#REF!</definedName>
    <definedName name="Output3_2" localSheetId="12">#REF!</definedName>
    <definedName name="Output3_2" localSheetId="20">#REF!</definedName>
    <definedName name="Output3_2" localSheetId="13">#REF!</definedName>
    <definedName name="Output3_2" localSheetId="14">#REF!</definedName>
    <definedName name="Output3_2" localSheetId="25">#REF!</definedName>
    <definedName name="Output3_2" localSheetId="19">#REF!</definedName>
    <definedName name="Output3_2" localSheetId="15">#REF!</definedName>
    <definedName name="Output3_2" localSheetId="16">#REF!</definedName>
    <definedName name="Output3_2">#REF!</definedName>
    <definedName name="Output4" localSheetId="23">#REF!</definedName>
    <definedName name="Output4" localSheetId="8">#REF!</definedName>
    <definedName name="Output4" localSheetId="3">#REF!</definedName>
    <definedName name="Output4" localSheetId="1">#REF!</definedName>
    <definedName name="Output4" localSheetId="0">#REF!</definedName>
    <definedName name="Output4" localSheetId="17">#REF!</definedName>
    <definedName name="Output4" localSheetId="18">#REF!</definedName>
    <definedName name="Output4" localSheetId="2">#REF!</definedName>
    <definedName name="Output4" localSheetId="10">#REF!</definedName>
    <definedName name="Output4" localSheetId="4">#REF!</definedName>
    <definedName name="Output4" localSheetId="24">#REF!</definedName>
    <definedName name="Output4" localSheetId="11">#REF!</definedName>
    <definedName name="Output4" localSheetId="12">#REF!</definedName>
    <definedName name="Output4" localSheetId="20">#REF!</definedName>
    <definedName name="Output4" localSheetId="13">#REF!</definedName>
    <definedName name="Output4" localSheetId="14">#REF!</definedName>
    <definedName name="Output4" localSheetId="25">#REF!</definedName>
    <definedName name="Output4" localSheetId="19">#REF!</definedName>
    <definedName name="Output4" localSheetId="15">#REF!</definedName>
    <definedName name="Output4" localSheetId="16">#REF!</definedName>
    <definedName name="Output4">#REF!</definedName>
    <definedName name="Output4_2" localSheetId="23">#REF!</definedName>
    <definedName name="Output4_2" localSheetId="8">#REF!</definedName>
    <definedName name="Output4_2" localSheetId="3">#REF!</definedName>
    <definedName name="Output4_2" localSheetId="1">#REF!</definedName>
    <definedName name="Output4_2" localSheetId="0">#REF!</definedName>
    <definedName name="Output4_2" localSheetId="17">#REF!</definedName>
    <definedName name="Output4_2" localSheetId="18">#REF!</definedName>
    <definedName name="Output4_2" localSheetId="2">#REF!</definedName>
    <definedName name="Output4_2" localSheetId="10">#REF!</definedName>
    <definedName name="Output4_2" localSheetId="4">#REF!</definedName>
    <definedName name="Output4_2" localSheetId="24">#REF!</definedName>
    <definedName name="Output4_2" localSheetId="11">#REF!</definedName>
    <definedName name="Output4_2" localSheetId="12">#REF!</definedName>
    <definedName name="Output4_2" localSheetId="20">#REF!</definedName>
    <definedName name="Output4_2" localSheetId="13">#REF!</definedName>
    <definedName name="Output4_2" localSheetId="14">#REF!</definedName>
    <definedName name="Output4_2" localSheetId="25">#REF!</definedName>
    <definedName name="Output4_2" localSheetId="19">#REF!</definedName>
    <definedName name="Output4_2" localSheetId="15">#REF!</definedName>
    <definedName name="Output4_2" localSheetId="16">#REF!</definedName>
    <definedName name="Output4_2">#REF!</definedName>
    <definedName name="Output5" localSheetId="23">#REF!</definedName>
    <definedName name="Output5" localSheetId="8">#REF!</definedName>
    <definedName name="Output5" localSheetId="3">#REF!</definedName>
    <definedName name="Output5" localSheetId="1">#REF!</definedName>
    <definedName name="Output5" localSheetId="0">#REF!</definedName>
    <definedName name="Output5" localSheetId="17">#REF!</definedName>
    <definedName name="Output5" localSheetId="18">#REF!</definedName>
    <definedName name="Output5" localSheetId="2">#REF!</definedName>
    <definedName name="Output5" localSheetId="10">#REF!</definedName>
    <definedName name="Output5" localSheetId="4">#REF!</definedName>
    <definedName name="Output5" localSheetId="24">#REF!</definedName>
    <definedName name="Output5" localSheetId="11">#REF!</definedName>
    <definedName name="Output5" localSheetId="12">#REF!</definedName>
    <definedName name="Output5" localSheetId="20">#REF!</definedName>
    <definedName name="Output5" localSheetId="13">#REF!</definedName>
    <definedName name="Output5" localSheetId="14">#REF!</definedName>
    <definedName name="Output5" localSheetId="25">#REF!</definedName>
    <definedName name="Output5" localSheetId="19">#REF!</definedName>
    <definedName name="Output5" localSheetId="15">#REF!</definedName>
    <definedName name="Output5" localSheetId="16">#REF!</definedName>
    <definedName name="Output5">#REF!</definedName>
    <definedName name="Output5_2" localSheetId="23">#REF!</definedName>
    <definedName name="Output5_2" localSheetId="8">#REF!</definedName>
    <definedName name="Output5_2" localSheetId="3">#REF!</definedName>
    <definedName name="Output5_2" localSheetId="1">#REF!</definedName>
    <definedName name="Output5_2" localSheetId="0">#REF!</definedName>
    <definedName name="Output5_2" localSheetId="17">#REF!</definedName>
    <definedName name="Output5_2" localSheetId="18">#REF!</definedName>
    <definedName name="Output5_2" localSheetId="2">#REF!</definedName>
    <definedName name="Output5_2" localSheetId="10">#REF!</definedName>
    <definedName name="Output5_2" localSheetId="4">#REF!</definedName>
    <definedName name="Output5_2" localSheetId="24">#REF!</definedName>
    <definedName name="Output5_2" localSheetId="11">#REF!</definedName>
    <definedName name="Output5_2" localSheetId="12">#REF!</definedName>
    <definedName name="Output5_2" localSheetId="20">#REF!</definedName>
    <definedName name="Output5_2" localSheetId="13">#REF!</definedName>
    <definedName name="Output5_2" localSheetId="14">#REF!</definedName>
    <definedName name="Output5_2" localSheetId="25">#REF!</definedName>
    <definedName name="Output5_2" localSheetId="19">#REF!</definedName>
    <definedName name="Output5_2" localSheetId="15">#REF!</definedName>
    <definedName name="Output5_2" localSheetId="16">#REF!</definedName>
    <definedName name="Output5_2">#REF!</definedName>
    <definedName name="Output6" localSheetId="23">#REF!</definedName>
    <definedName name="Output6" localSheetId="8">#REF!</definedName>
    <definedName name="Output6" localSheetId="3">#REF!</definedName>
    <definedName name="Output6" localSheetId="1">#REF!</definedName>
    <definedName name="Output6" localSheetId="0">#REF!</definedName>
    <definedName name="Output6" localSheetId="17">#REF!</definedName>
    <definedName name="Output6" localSheetId="18">#REF!</definedName>
    <definedName name="Output6" localSheetId="2">#REF!</definedName>
    <definedName name="Output6" localSheetId="10">#REF!</definedName>
    <definedName name="Output6" localSheetId="4">#REF!</definedName>
    <definedName name="Output6" localSheetId="24">#REF!</definedName>
    <definedName name="Output6" localSheetId="11">#REF!</definedName>
    <definedName name="Output6" localSheetId="12">#REF!</definedName>
    <definedName name="Output6" localSheetId="20">#REF!</definedName>
    <definedName name="Output6" localSheetId="13">#REF!</definedName>
    <definedName name="Output6" localSheetId="14">#REF!</definedName>
    <definedName name="Output6" localSheetId="25">#REF!</definedName>
    <definedName name="Output6" localSheetId="19">#REF!</definedName>
    <definedName name="Output6" localSheetId="15">#REF!</definedName>
    <definedName name="Output6" localSheetId="16">#REF!</definedName>
    <definedName name="Output6">#REF!</definedName>
    <definedName name="Output6_2" localSheetId="23">#REF!</definedName>
    <definedName name="Output6_2" localSheetId="8">#REF!</definedName>
    <definedName name="Output6_2" localSheetId="3">#REF!</definedName>
    <definedName name="Output6_2" localSheetId="1">#REF!</definedName>
    <definedName name="Output6_2" localSheetId="0">#REF!</definedName>
    <definedName name="Output6_2" localSheetId="17">#REF!</definedName>
    <definedName name="Output6_2" localSheetId="18">#REF!</definedName>
    <definedName name="Output6_2" localSheetId="2">#REF!</definedName>
    <definedName name="Output6_2" localSheetId="10">#REF!</definedName>
    <definedName name="Output6_2" localSheetId="4">#REF!</definedName>
    <definedName name="Output6_2" localSheetId="24">#REF!</definedName>
    <definedName name="Output6_2" localSheetId="11">#REF!</definedName>
    <definedName name="Output6_2" localSheetId="12">#REF!</definedName>
    <definedName name="Output6_2" localSheetId="20">#REF!</definedName>
    <definedName name="Output6_2" localSheetId="13">#REF!</definedName>
    <definedName name="Output6_2" localSheetId="14">#REF!</definedName>
    <definedName name="Output6_2" localSheetId="25">#REF!</definedName>
    <definedName name="Output6_2" localSheetId="19">#REF!</definedName>
    <definedName name="Output6_2" localSheetId="15">#REF!</definedName>
    <definedName name="Output6_2" localSheetId="16">#REF!</definedName>
    <definedName name="Output6_2">#REF!</definedName>
    <definedName name="Output7" localSheetId="23">#REF!</definedName>
    <definedName name="Output7" localSheetId="8">#REF!</definedName>
    <definedName name="Output7" localSheetId="3">#REF!</definedName>
    <definedName name="Output7" localSheetId="1">#REF!</definedName>
    <definedName name="Output7" localSheetId="0">#REF!</definedName>
    <definedName name="Output7" localSheetId="17">#REF!</definedName>
    <definedName name="Output7" localSheetId="18">#REF!</definedName>
    <definedName name="Output7" localSheetId="2">#REF!</definedName>
    <definedName name="Output7" localSheetId="10">#REF!</definedName>
    <definedName name="Output7" localSheetId="4">#REF!</definedName>
    <definedName name="Output7" localSheetId="24">#REF!</definedName>
    <definedName name="Output7" localSheetId="11">#REF!</definedName>
    <definedName name="Output7" localSheetId="12">#REF!</definedName>
    <definedName name="Output7" localSheetId="20">#REF!</definedName>
    <definedName name="Output7" localSheetId="13">#REF!</definedName>
    <definedName name="Output7" localSheetId="14">#REF!</definedName>
    <definedName name="Output7" localSheetId="25">#REF!</definedName>
    <definedName name="Output7" localSheetId="19">#REF!</definedName>
    <definedName name="Output7" localSheetId="15">#REF!</definedName>
    <definedName name="Output7" localSheetId="16">#REF!</definedName>
    <definedName name="Output7">#REF!</definedName>
    <definedName name="Output7_2" localSheetId="23">#REF!</definedName>
    <definedName name="Output7_2" localSheetId="8">#REF!</definedName>
    <definedName name="Output7_2" localSheetId="3">#REF!</definedName>
    <definedName name="Output7_2" localSheetId="1">#REF!</definedName>
    <definedName name="Output7_2" localSheetId="0">#REF!</definedName>
    <definedName name="Output7_2" localSheetId="17">#REF!</definedName>
    <definedName name="Output7_2" localSheetId="18">#REF!</definedName>
    <definedName name="Output7_2" localSheetId="2">#REF!</definedName>
    <definedName name="Output7_2" localSheetId="10">#REF!</definedName>
    <definedName name="Output7_2" localSheetId="4">#REF!</definedName>
    <definedName name="Output7_2" localSheetId="24">#REF!</definedName>
    <definedName name="Output7_2" localSheetId="11">#REF!</definedName>
    <definedName name="Output7_2" localSheetId="12">#REF!</definedName>
    <definedName name="Output7_2" localSheetId="20">#REF!</definedName>
    <definedName name="Output7_2" localSheetId="13">#REF!</definedName>
    <definedName name="Output7_2" localSheetId="14">#REF!</definedName>
    <definedName name="Output7_2" localSheetId="25">#REF!</definedName>
    <definedName name="Output7_2" localSheetId="19">#REF!</definedName>
    <definedName name="Output7_2" localSheetId="15">#REF!</definedName>
    <definedName name="Output7_2" localSheetId="16">#REF!</definedName>
    <definedName name="Output7_2">#REF!</definedName>
    <definedName name="Pcost" localSheetId="23">#REF!</definedName>
    <definedName name="Pcost" localSheetId="8">#REF!</definedName>
    <definedName name="Pcost" localSheetId="3">#REF!</definedName>
    <definedName name="Pcost" localSheetId="1">#REF!</definedName>
    <definedName name="Pcost" localSheetId="0">#REF!</definedName>
    <definedName name="Pcost" localSheetId="17">#REF!</definedName>
    <definedName name="Pcost" localSheetId="18">#REF!</definedName>
    <definedName name="Pcost" localSheetId="2">#REF!</definedName>
    <definedName name="Pcost" localSheetId="10">#REF!</definedName>
    <definedName name="Pcost" localSheetId="4">#REF!</definedName>
    <definedName name="Pcost" localSheetId="24">#REF!</definedName>
    <definedName name="Pcost" localSheetId="11">#REF!</definedName>
    <definedName name="Pcost" localSheetId="12">#REF!</definedName>
    <definedName name="Pcost" localSheetId="20">#REF!</definedName>
    <definedName name="Pcost" localSheetId="13">#REF!</definedName>
    <definedName name="Pcost" localSheetId="14">#REF!</definedName>
    <definedName name="Pcost" localSheetId="25">#REF!</definedName>
    <definedName name="Pcost" localSheetId="19">#REF!</definedName>
    <definedName name="Pcost" localSheetId="15">#REF!</definedName>
    <definedName name="Pcost" localSheetId="16">#REF!</definedName>
    <definedName name="Pcost">#REF!</definedName>
    <definedName name="Personnel" localSheetId="0">[1]Sheet2!$G$4:$G$11</definedName>
    <definedName name="Personnel" localSheetId="4">[1]Sheet2!$G$4:$G$11</definedName>
    <definedName name="Personnel" localSheetId="13">[2]Sheet2!$G$4:$G$11</definedName>
    <definedName name="Personnel">[2]Sheet2!$G$4:$G$11</definedName>
    <definedName name="_xlnm.Print_Area" localSheetId="3">'Consl  Budget'!$B$2:$F$15</definedName>
    <definedName name="_xlnm.Print_Area" localSheetId="1">'Consl - Countries'!$B$2:$F$20</definedName>
    <definedName name="_xlnm.Print_Area" localSheetId="2">Global!$B$2:$I$22</definedName>
    <definedName name="_xlnm.Print_Titles" localSheetId="3">'Consl  Budget'!$4:$4</definedName>
    <definedName name="_xlnm.Print_Titles" localSheetId="1">'Consl - Countries'!$4:$4</definedName>
    <definedName name="_xlnm.Print_Titles" localSheetId="2">Global!$4:$4</definedName>
    <definedName name="SupportCostFactor" localSheetId="23">#REF!</definedName>
    <definedName name="SupportCostFactor" localSheetId="8">#REF!</definedName>
    <definedName name="SupportCostFactor" localSheetId="3">#REF!</definedName>
    <definedName name="SupportCostFactor" localSheetId="1">#REF!</definedName>
    <definedName name="SupportCostFactor" localSheetId="0">#REF!</definedName>
    <definedName name="SupportCostFactor" localSheetId="17">#REF!</definedName>
    <definedName name="SupportCostFactor" localSheetId="18">#REF!</definedName>
    <definedName name="SupportCostFactor" localSheetId="2">#REF!</definedName>
    <definedName name="SupportCostFactor" localSheetId="10">#REF!</definedName>
    <definedName name="SupportCostFactor" localSheetId="4">#REF!</definedName>
    <definedName name="SupportCostFactor" localSheetId="24">#REF!</definedName>
    <definedName name="SupportCostFactor" localSheetId="11">#REF!</definedName>
    <definedName name="SupportCostFactor" localSheetId="12">#REF!</definedName>
    <definedName name="SupportCostFactor" localSheetId="20">#REF!</definedName>
    <definedName name="SupportCostFactor" localSheetId="13">#REF!</definedName>
    <definedName name="SupportCostFactor" localSheetId="14">#REF!</definedName>
    <definedName name="SupportCostFactor" localSheetId="25">#REF!</definedName>
    <definedName name="SupportCostFactor" localSheetId="19">#REF!</definedName>
    <definedName name="SupportCostFactor" localSheetId="15">#REF!</definedName>
    <definedName name="SupportCostFactor" localSheetId="16">#REF!</definedName>
    <definedName name="SupportCostFactor">#REF!</definedName>
    <definedName name="total2009" localSheetId="13">'[3]GP1 data'!$F$10</definedName>
    <definedName name="total2009">'[3]GP1 data'!$F$10</definedName>
    <definedName name="Year1" localSheetId="23">#REF!</definedName>
    <definedName name="Year1" localSheetId="8">#REF!</definedName>
    <definedName name="Year1" localSheetId="3">#REF!</definedName>
    <definedName name="Year1" localSheetId="1">#REF!</definedName>
    <definedName name="Year1" localSheetId="0">#REF!</definedName>
    <definedName name="Year1" localSheetId="17">#REF!</definedName>
    <definedName name="Year1" localSheetId="18">#REF!</definedName>
    <definedName name="Year1" localSheetId="2">#REF!</definedName>
    <definedName name="Year1" localSheetId="10">#REF!</definedName>
    <definedName name="Year1" localSheetId="4">#REF!</definedName>
    <definedName name="Year1" localSheetId="24">#REF!</definedName>
    <definedName name="Year1" localSheetId="11">#REF!</definedName>
    <definedName name="Year1" localSheetId="12">#REF!</definedName>
    <definedName name="Year1" localSheetId="20">#REF!</definedName>
    <definedName name="Year1" localSheetId="13">#REF!</definedName>
    <definedName name="Year1" localSheetId="14">#REF!</definedName>
    <definedName name="Year1" localSheetId="25">#REF!</definedName>
    <definedName name="Year1" localSheetId="19">#REF!</definedName>
    <definedName name="Year1" localSheetId="15">#REF!</definedName>
    <definedName name="Year1" localSheetId="16">#REF!</definedName>
    <definedName name="Year1">#REF!</definedName>
    <definedName name="Year1Rate" localSheetId="23">#REF!</definedName>
    <definedName name="Year1Rate" localSheetId="8">#REF!</definedName>
    <definedName name="Year1Rate" localSheetId="3">#REF!</definedName>
    <definedName name="Year1Rate" localSheetId="1">#REF!</definedName>
    <definedName name="Year1Rate" localSheetId="0">#REF!</definedName>
    <definedName name="Year1Rate" localSheetId="17">#REF!</definedName>
    <definedName name="Year1Rate" localSheetId="18">#REF!</definedName>
    <definedName name="Year1Rate" localSheetId="2">#REF!</definedName>
    <definedName name="Year1Rate" localSheetId="10">#REF!</definedName>
    <definedName name="Year1Rate" localSheetId="4">#REF!</definedName>
    <definedName name="Year1Rate" localSheetId="24">#REF!</definedName>
    <definedName name="Year1Rate" localSheetId="11">#REF!</definedName>
    <definedName name="Year1Rate" localSheetId="12">#REF!</definedName>
    <definedName name="Year1Rate" localSheetId="20">#REF!</definedName>
    <definedName name="Year1Rate" localSheetId="13">#REF!</definedName>
    <definedName name="Year1Rate" localSheetId="14">#REF!</definedName>
    <definedName name="Year1Rate" localSheetId="25">#REF!</definedName>
    <definedName name="Year1Rate" localSheetId="19">#REF!</definedName>
    <definedName name="Year1Rate" localSheetId="15">#REF!</definedName>
    <definedName name="Year1Rate" localSheetId="16">#REF!</definedName>
    <definedName name="Year1Rate">#REF!</definedName>
    <definedName name="Year2Rate" localSheetId="23">#REF!</definedName>
    <definedName name="Year2Rate" localSheetId="8">#REF!</definedName>
    <definedName name="Year2Rate" localSheetId="3">#REF!</definedName>
    <definedName name="Year2Rate" localSheetId="1">#REF!</definedName>
    <definedName name="Year2Rate" localSheetId="0">#REF!</definedName>
    <definedName name="Year2Rate" localSheetId="17">#REF!</definedName>
    <definedName name="Year2Rate" localSheetId="18">#REF!</definedName>
    <definedName name="Year2Rate" localSheetId="2">#REF!</definedName>
    <definedName name="Year2Rate" localSheetId="10">#REF!</definedName>
    <definedName name="Year2Rate" localSheetId="4">#REF!</definedName>
    <definedName name="Year2Rate" localSheetId="24">#REF!</definedName>
    <definedName name="Year2Rate" localSheetId="11">#REF!</definedName>
    <definedName name="Year2Rate" localSheetId="12">#REF!</definedName>
    <definedName name="Year2Rate" localSheetId="20">#REF!</definedName>
    <definedName name="Year2Rate" localSheetId="13">#REF!</definedName>
    <definedName name="Year2Rate" localSheetId="14">#REF!</definedName>
    <definedName name="Year2Rate" localSheetId="25">#REF!</definedName>
    <definedName name="Year2Rate" localSheetId="19">#REF!</definedName>
    <definedName name="Year2Rate" localSheetId="15">#REF!</definedName>
    <definedName name="Year2Rate" localSheetId="16">#REF!</definedName>
    <definedName name="Year2Rate">#REF!</definedName>
  </definedNames>
  <calcPr calcId="145621"/>
  <fileRecoveryPr autoRecover="0"/>
</workbook>
</file>

<file path=xl/calcChain.xml><?xml version="1.0" encoding="utf-8"?>
<calcChain xmlns="http://schemas.openxmlformats.org/spreadsheetml/2006/main">
  <c r="F20" i="57" l="1"/>
  <c r="C31" i="56" l="1"/>
  <c r="E48" i="57" l="1"/>
  <c r="D48" i="57"/>
  <c r="C48" i="57"/>
  <c r="D25" i="56" l="1"/>
  <c r="D24" i="56"/>
  <c r="D23" i="56"/>
  <c r="D34" i="57" l="1"/>
  <c r="D33" i="57"/>
  <c r="D32" i="57"/>
  <c r="F19" i="57"/>
  <c r="L23" i="54" l="1"/>
  <c r="J23" i="54"/>
  <c r="L22" i="54"/>
  <c r="F16" i="53"/>
  <c r="F17" i="53"/>
  <c r="F20" i="53"/>
  <c r="E16" i="53"/>
  <c r="E17" i="53"/>
  <c r="E18" i="53"/>
  <c r="E20" i="53"/>
  <c r="D16" i="53"/>
  <c r="D17" i="53"/>
  <c r="D18" i="53"/>
  <c r="D20" i="53"/>
  <c r="F6" i="53"/>
  <c r="F7" i="53"/>
  <c r="F8" i="53"/>
  <c r="F10" i="53"/>
  <c r="E6" i="53"/>
  <c r="E7" i="53"/>
  <c r="E8" i="53"/>
  <c r="E9" i="53"/>
  <c r="E10" i="53"/>
  <c r="E11" i="53"/>
  <c r="D6" i="53"/>
  <c r="D7" i="53"/>
  <c r="D8" i="53"/>
  <c r="D10" i="53"/>
  <c r="E5" i="53"/>
  <c r="F70" i="57" l="1"/>
  <c r="D70" i="57"/>
  <c r="C68" i="57"/>
  <c r="E67" i="57"/>
  <c r="C66" i="57"/>
  <c r="C65" i="57"/>
  <c r="C64" i="57"/>
  <c r="F59" i="57"/>
  <c r="E59" i="57"/>
  <c r="C58" i="57"/>
  <c r="C57" i="57"/>
  <c r="C55" i="57"/>
  <c r="C54" i="57"/>
  <c r="C53" i="57"/>
  <c r="C42" i="57"/>
  <c r="C41" i="57"/>
  <c r="E69" i="57"/>
  <c r="C34" i="57"/>
  <c r="D35" i="57"/>
  <c r="K22" i="54" s="1"/>
  <c r="C33" i="57"/>
  <c r="D56" i="57" s="1"/>
  <c r="E63" i="57"/>
  <c r="C32" i="57"/>
  <c r="F32" i="57" s="1"/>
  <c r="F23" i="57"/>
  <c r="F24" i="57" s="1"/>
  <c r="F10" i="57"/>
  <c r="F53" i="56"/>
  <c r="D53" i="56"/>
  <c r="C51" i="56"/>
  <c r="C49" i="56"/>
  <c r="C48" i="56"/>
  <c r="C47" i="56"/>
  <c r="F42" i="56"/>
  <c r="E42" i="56"/>
  <c r="D42" i="56"/>
  <c r="C41" i="56"/>
  <c r="C40" i="56"/>
  <c r="C39" i="56"/>
  <c r="C38" i="56"/>
  <c r="C37" i="56"/>
  <c r="C36" i="56"/>
  <c r="C35" i="56"/>
  <c r="E52" i="56"/>
  <c r="C52" i="56" s="1"/>
  <c r="F24" i="56"/>
  <c r="E46" i="56"/>
  <c r="F19" i="56"/>
  <c r="F13" i="56"/>
  <c r="F14" i="56" s="1"/>
  <c r="C42" i="56" l="1"/>
  <c r="F15" i="56"/>
  <c r="C56" i="57"/>
  <c r="F25" i="57"/>
  <c r="F26" i="57" s="1"/>
  <c r="C69" i="57"/>
  <c r="C67" i="57"/>
  <c r="E70" i="57"/>
  <c r="C63" i="57"/>
  <c r="D36" i="57"/>
  <c r="D37" i="57" s="1"/>
  <c r="F34" i="57"/>
  <c r="C43" i="57"/>
  <c r="C44" i="57" s="1"/>
  <c r="F33" i="57"/>
  <c r="C35" i="57"/>
  <c r="J22" i="54" s="1"/>
  <c r="D52" i="57"/>
  <c r="C46" i="56"/>
  <c r="D26" i="56"/>
  <c r="K23" i="54" s="1"/>
  <c r="E50" i="56"/>
  <c r="C50" i="56" s="1"/>
  <c r="F23" i="56"/>
  <c r="F25" i="56"/>
  <c r="F63" i="29"/>
  <c r="E43" i="29"/>
  <c r="E42" i="29"/>
  <c r="E41" i="29"/>
  <c r="C43" i="29"/>
  <c r="C42" i="29"/>
  <c r="C41" i="29"/>
  <c r="F25" i="29"/>
  <c r="F71" i="27"/>
  <c r="F77" i="27"/>
  <c r="E43" i="27"/>
  <c r="F27" i="57" l="1"/>
  <c r="C70" i="57"/>
  <c r="C45" i="57"/>
  <c r="C46" i="57" s="1"/>
  <c r="D59" i="57"/>
  <c r="C52" i="57"/>
  <c r="C59" i="57" s="1"/>
  <c r="F35" i="57"/>
  <c r="C36" i="57"/>
  <c r="F36" i="57" s="1"/>
  <c r="C37" i="57"/>
  <c r="F37" i="57" s="1"/>
  <c r="C53" i="56"/>
  <c r="D27" i="56"/>
  <c r="F26" i="56"/>
  <c r="E53" i="56"/>
  <c r="D52" i="33"/>
  <c r="D51" i="33"/>
  <c r="D50" i="33"/>
  <c r="C52" i="33"/>
  <c r="F38" i="33"/>
  <c r="F37" i="33"/>
  <c r="F33" i="33"/>
  <c r="D28" i="56" l="1"/>
  <c r="F28" i="56" s="1"/>
  <c r="F27" i="56"/>
  <c r="F27" i="33"/>
  <c r="F23" i="33"/>
  <c r="F28" i="33" l="1"/>
  <c r="C47" i="50"/>
  <c r="D74" i="50" s="1"/>
  <c r="C46" i="50"/>
  <c r="F39" i="50"/>
  <c r="F35" i="50"/>
  <c r="F31" i="50"/>
  <c r="F27" i="50"/>
  <c r="F16" i="50"/>
  <c r="F20" i="50"/>
  <c r="F21" i="50" s="1"/>
  <c r="F19" i="34"/>
  <c r="F23" i="34"/>
  <c r="F22" i="27"/>
  <c r="D71" i="27"/>
  <c r="F15" i="28"/>
  <c r="C26" i="28" s="1"/>
  <c r="D63" i="29"/>
  <c r="D61" i="30"/>
  <c r="D55" i="31"/>
  <c r="D51" i="32"/>
  <c r="C50" i="33"/>
  <c r="D72" i="33"/>
  <c r="F25" i="34"/>
  <c r="C39" i="34" s="1"/>
  <c r="D70" i="50"/>
  <c r="D64" i="36"/>
  <c r="D60" i="37"/>
  <c r="D75" i="27"/>
  <c r="F16" i="28"/>
  <c r="D67" i="29"/>
  <c r="D65" i="30"/>
  <c r="D59" i="31"/>
  <c r="D55" i="32"/>
  <c r="C51" i="33"/>
  <c r="D76" i="33"/>
  <c r="F26" i="34"/>
  <c r="C40" i="34" s="1"/>
  <c r="D68" i="36"/>
  <c r="D64" i="37"/>
  <c r="D77" i="27"/>
  <c r="F17" i="28"/>
  <c r="D55" i="28"/>
  <c r="D69" i="29"/>
  <c r="D70" i="29" s="1"/>
  <c r="D67" i="30"/>
  <c r="D61" i="31"/>
  <c r="D57" i="32"/>
  <c r="D78" i="33"/>
  <c r="D79" i="33" s="1"/>
  <c r="F28" i="34"/>
  <c r="C41" i="34" s="1"/>
  <c r="D67" i="34" s="1"/>
  <c r="C48" i="50"/>
  <c r="D76" i="50"/>
  <c r="D70" i="36"/>
  <c r="D66" i="37"/>
  <c r="C66" i="37" s="1"/>
  <c r="D60" i="27"/>
  <c r="D38" i="28"/>
  <c r="D52" i="29"/>
  <c r="D50" i="30"/>
  <c r="C50" i="30" s="1"/>
  <c r="D44" i="31"/>
  <c r="D40" i="32"/>
  <c r="D53" i="36"/>
  <c r="C53" i="36" s="1"/>
  <c r="D49" i="37"/>
  <c r="C22" i="39"/>
  <c r="D33" i="39"/>
  <c r="D64" i="27"/>
  <c r="D42" i="28"/>
  <c r="D45" i="28" s="1"/>
  <c r="D56" i="29"/>
  <c r="D54" i="30"/>
  <c r="D48" i="31"/>
  <c r="C48" i="31" s="1"/>
  <c r="D44" i="32"/>
  <c r="D57" i="36"/>
  <c r="D53" i="37"/>
  <c r="C23" i="39"/>
  <c r="D66" i="27"/>
  <c r="D44" i="28"/>
  <c r="D58" i="29"/>
  <c r="C58" i="29" s="1"/>
  <c r="D56" i="30"/>
  <c r="C56" i="30" s="1"/>
  <c r="D50" i="31"/>
  <c r="D46" i="32"/>
  <c r="D59" i="36"/>
  <c r="D55" i="37"/>
  <c r="C24" i="39"/>
  <c r="D39" i="39"/>
  <c r="F15" i="34"/>
  <c r="F11" i="34"/>
  <c r="F21" i="29"/>
  <c r="F17" i="29"/>
  <c r="F26" i="29" s="1"/>
  <c r="F22" i="30"/>
  <c r="F23" i="30" s="1"/>
  <c r="F18" i="30"/>
  <c r="F31" i="30"/>
  <c r="F27" i="30"/>
  <c r="F32" i="30"/>
  <c r="F34" i="29"/>
  <c r="F30" i="29"/>
  <c r="F10" i="29"/>
  <c r="F10" i="30"/>
  <c r="C41" i="27"/>
  <c r="C42" i="27"/>
  <c r="C43" i="27"/>
  <c r="F23" i="27"/>
  <c r="D41" i="27" s="1"/>
  <c r="F24" i="27"/>
  <c r="D42" i="27"/>
  <c r="F25" i="27"/>
  <c r="E41" i="27"/>
  <c r="E42" i="27"/>
  <c r="E52" i="27"/>
  <c r="C28" i="28"/>
  <c r="K7" i="54"/>
  <c r="H7" i="52"/>
  <c r="L7" i="54"/>
  <c r="I7" i="52"/>
  <c r="F41" i="29"/>
  <c r="D41" i="29"/>
  <c r="D42" i="29"/>
  <c r="D43" i="29"/>
  <c r="D44" i="29"/>
  <c r="K8" i="54" s="1"/>
  <c r="E44" i="29"/>
  <c r="F42" i="29"/>
  <c r="F43" i="29"/>
  <c r="F14" i="33"/>
  <c r="E69" i="29"/>
  <c r="E67" i="29"/>
  <c r="F67" i="29"/>
  <c r="E63" i="29"/>
  <c r="E56" i="28"/>
  <c r="F56" i="28"/>
  <c r="C53" i="29"/>
  <c r="C54" i="29"/>
  <c r="C55" i="29"/>
  <c r="C56" i="29"/>
  <c r="C57" i="29"/>
  <c r="E22" i="38"/>
  <c r="F54" i="43"/>
  <c r="F56" i="43"/>
  <c r="F11" i="53" s="1"/>
  <c r="F10" i="37"/>
  <c r="E48" i="50"/>
  <c r="F76" i="50" s="1"/>
  <c r="E47" i="50"/>
  <c r="E46" i="50"/>
  <c r="F70" i="50"/>
  <c r="F77" i="50" s="1"/>
  <c r="D48" i="50"/>
  <c r="E76" i="50" s="1"/>
  <c r="D47" i="50"/>
  <c r="E74" i="50"/>
  <c r="D46" i="50"/>
  <c r="E40" i="34"/>
  <c r="F65" i="34" s="1"/>
  <c r="E39" i="34"/>
  <c r="F61" i="34" s="1"/>
  <c r="D41" i="34"/>
  <c r="D39" i="34"/>
  <c r="E61" i="34" s="1"/>
  <c r="D40" i="34"/>
  <c r="E65" i="34" s="1"/>
  <c r="F42" i="33"/>
  <c r="E51" i="33"/>
  <c r="F51" i="33"/>
  <c r="E50" i="33"/>
  <c r="F50" i="33"/>
  <c r="F52" i="33"/>
  <c r="F19" i="33"/>
  <c r="C38" i="30"/>
  <c r="E67" i="30"/>
  <c r="E65" i="30"/>
  <c r="E61" i="30"/>
  <c r="E40" i="30"/>
  <c r="F67" i="30"/>
  <c r="C39" i="30"/>
  <c r="C40" i="30"/>
  <c r="C41" i="30"/>
  <c r="E39" i="30"/>
  <c r="E38" i="30"/>
  <c r="D39" i="30"/>
  <c r="D40" i="30"/>
  <c r="D38" i="30"/>
  <c r="D41" i="30" s="1"/>
  <c r="F69" i="29"/>
  <c r="C63" i="29"/>
  <c r="F67" i="43"/>
  <c r="F65" i="43"/>
  <c r="F64" i="43"/>
  <c r="F18" i="53" s="1"/>
  <c r="F61" i="43"/>
  <c r="C61" i="43" s="1"/>
  <c r="C68" i="43" s="1"/>
  <c r="F18" i="43"/>
  <c r="F23" i="43" s="1"/>
  <c r="F22" i="43"/>
  <c r="E32" i="43"/>
  <c r="E31" i="43"/>
  <c r="F31" i="43" s="1"/>
  <c r="E30" i="43"/>
  <c r="F30" i="43" s="1"/>
  <c r="E29" i="43"/>
  <c r="C51" i="43"/>
  <c r="C52" i="43"/>
  <c r="C53" i="43"/>
  <c r="C55" i="43"/>
  <c r="F50" i="43"/>
  <c r="C50" i="43"/>
  <c r="F10" i="43"/>
  <c r="F24" i="43"/>
  <c r="F25" i="43" s="1"/>
  <c r="C54" i="43"/>
  <c r="D51" i="27"/>
  <c r="D33" i="31"/>
  <c r="E55" i="31" s="1"/>
  <c r="D29" i="32"/>
  <c r="E51" i="32"/>
  <c r="C51" i="32" s="1"/>
  <c r="D30" i="37"/>
  <c r="E60" i="37"/>
  <c r="F75" i="27"/>
  <c r="C55" i="28"/>
  <c r="C50" i="28"/>
  <c r="C51" i="28"/>
  <c r="C52" i="28"/>
  <c r="C54" i="28"/>
  <c r="F61" i="31"/>
  <c r="D35" i="31"/>
  <c r="E61" i="31"/>
  <c r="C61" i="31" s="1"/>
  <c r="D34" i="31"/>
  <c r="E59" i="31"/>
  <c r="E62" i="31" s="1"/>
  <c r="D62" i="31"/>
  <c r="C50" i="31"/>
  <c r="D31" i="32"/>
  <c r="E57" i="32"/>
  <c r="C57" i="32" s="1"/>
  <c r="D30" i="32"/>
  <c r="D58" i="32"/>
  <c r="C46" i="32"/>
  <c r="F72" i="33"/>
  <c r="F74" i="50"/>
  <c r="C57" i="36"/>
  <c r="C54" i="36"/>
  <c r="C55" i="36"/>
  <c r="C56" i="36"/>
  <c r="C58" i="36"/>
  <c r="C59" i="36"/>
  <c r="D32" i="37"/>
  <c r="E66" i="37"/>
  <c r="D31" i="37"/>
  <c r="E13" i="44" s="1"/>
  <c r="C55" i="37"/>
  <c r="D56" i="37"/>
  <c r="E68" i="43"/>
  <c r="D68" i="43"/>
  <c r="C67" i="43"/>
  <c r="C66" i="43"/>
  <c r="C65" i="43"/>
  <c r="C64" i="43"/>
  <c r="C63" i="43"/>
  <c r="C62" i="43"/>
  <c r="F57" i="43"/>
  <c r="E57" i="43"/>
  <c r="D57" i="43"/>
  <c r="F51" i="39"/>
  <c r="E51" i="39"/>
  <c r="D51" i="39"/>
  <c r="C50" i="39"/>
  <c r="C49" i="39"/>
  <c r="C48" i="39"/>
  <c r="C47" i="39"/>
  <c r="C46" i="39"/>
  <c r="C45" i="39"/>
  <c r="C44" i="39"/>
  <c r="F40" i="39"/>
  <c r="E40" i="39"/>
  <c r="C39" i="39"/>
  <c r="C38" i="39"/>
  <c r="C36" i="39"/>
  <c r="C35" i="39"/>
  <c r="C34" i="39"/>
  <c r="C33" i="39"/>
  <c r="F67" i="37"/>
  <c r="C65" i="37"/>
  <c r="C63" i="37"/>
  <c r="C62" i="37"/>
  <c r="C61" i="37"/>
  <c r="C60" i="37"/>
  <c r="F56" i="37"/>
  <c r="E56" i="37"/>
  <c r="C54" i="37"/>
  <c r="C53" i="37"/>
  <c r="C52" i="37"/>
  <c r="C51" i="37"/>
  <c r="C50" i="37"/>
  <c r="C49" i="37"/>
  <c r="C56" i="37"/>
  <c r="F49" i="38"/>
  <c r="E49" i="38"/>
  <c r="D49" i="38"/>
  <c r="C48" i="38"/>
  <c r="C47" i="38"/>
  <c r="C46" i="38"/>
  <c r="C45" i="38"/>
  <c r="C44" i="38"/>
  <c r="C43" i="38"/>
  <c r="C42" i="38"/>
  <c r="E38" i="38"/>
  <c r="D38" i="38"/>
  <c r="C37" i="38"/>
  <c r="C36" i="38"/>
  <c r="C34" i="38"/>
  <c r="C33" i="38"/>
  <c r="C32" i="38"/>
  <c r="E71" i="36"/>
  <c r="C69" i="36"/>
  <c r="C68" i="36"/>
  <c r="C67" i="36"/>
  <c r="C66" i="36"/>
  <c r="C65" i="36"/>
  <c r="F60" i="36"/>
  <c r="E60" i="36"/>
  <c r="C75" i="50"/>
  <c r="C73" i="50"/>
  <c r="C72" i="50"/>
  <c r="C71" i="50"/>
  <c r="F66" i="50"/>
  <c r="E66" i="50"/>
  <c r="D66" i="50"/>
  <c r="C65" i="50"/>
  <c r="C64" i="50"/>
  <c r="C63" i="50"/>
  <c r="C62" i="50"/>
  <c r="C61" i="50"/>
  <c r="C60" i="50"/>
  <c r="C59" i="50"/>
  <c r="F57" i="34"/>
  <c r="E57" i="34"/>
  <c r="D57" i="34"/>
  <c r="C56" i="34"/>
  <c r="C55" i="34"/>
  <c r="C54" i="34"/>
  <c r="C53" i="34"/>
  <c r="C52" i="34"/>
  <c r="C51" i="34"/>
  <c r="C50" i="34"/>
  <c r="C66" i="34"/>
  <c r="C64" i="34"/>
  <c r="C63" i="34"/>
  <c r="C62" i="34"/>
  <c r="C77" i="33"/>
  <c r="C75" i="33"/>
  <c r="C74" i="33"/>
  <c r="C73" i="33"/>
  <c r="F68" i="33"/>
  <c r="E68" i="33"/>
  <c r="D68" i="33"/>
  <c r="C67" i="33"/>
  <c r="C66" i="33"/>
  <c r="C65" i="33"/>
  <c r="C64" i="33"/>
  <c r="C63" i="33"/>
  <c r="C62" i="33"/>
  <c r="C61" i="33"/>
  <c r="F58" i="32"/>
  <c r="C56" i="32"/>
  <c r="C54" i="32"/>
  <c r="C53" i="32"/>
  <c r="C52" i="32"/>
  <c r="F47" i="32"/>
  <c r="E47" i="32"/>
  <c r="C45" i="32"/>
  <c r="C43" i="32"/>
  <c r="C42" i="32"/>
  <c r="C41" i="32"/>
  <c r="C40" i="32"/>
  <c r="C60" i="31"/>
  <c r="C58" i="31"/>
  <c r="C57" i="31"/>
  <c r="C56" i="31"/>
  <c r="F51" i="31"/>
  <c r="E51" i="31"/>
  <c r="C49" i="31"/>
  <c r="C47" i="31"/>
  <c r="C46" i="31"/>
  <c r="C45" i="31"/>
  <c r="C44" i="31"/>
  <c r="C66" i="30"/>
  <c r="C62" i="30"/>
  <c r="F57" i="30"/>
  <c r="E57" i="30"/>
  <c r="C55" i="30"/>
  <c r="C53" i="30"/>
  <c r="C52" i="30"/>
  <c r="C51" i="30"/>
  <c r="C68" i="29"/>
  <c r="C66" i="29"/>
  <c r="C65" i="29"/>
  <c r="C64" i="29"/>
  <c r="F59" i="29"/>
  <c r="E59" i="29"/>
  <c r="F45" i="28"/>
  <c r="E45" i="28"/>
  <c r="C43" i="28"/>
  <c r="C42" i="28"/>
  <c r="C41" i="28"/>
  <c r="C40" i="28"/>
  <c r="C39" i="28"/>
  <c r="C38" i="28"/>
  <c r="C76" i="27"/>
  <c r="C74" i="27"/>
  <c r="C73" i="27"/>
  <c r="C72" i="27"/>
  <c r="F67" i="27"/>
  <c r="E67" i="27"/>
  <c r="C66" i="27"/>
  <c r="C65" i="27"/>
  <c r="C63" i="27"/>
  <c r="C62" i="27"/>
  <c r="C61" i="27"/>
  <c r="C60" i="27"/>
  <c r="D23" i="45"/>
  <c r="M22" i="54"/>
  <c r="E52" i="33"/>
  <c r="E78" i="33"/>
  <c r="J24" i="54"/>
  <c r="G24" i="52" s="1"/>
  <c r="I23" i="52"/>
  <c r="G23" i="52"/>
  <c r="K21" i="54"/>
  <c r="H21" i="52" s="1"/>
  <c r="L21" i="54"/>
  <c r="I21" i="52"/>
  <c r="L20" i="54"/>
  <c r="I20" i="52" s="1"/>
  <c r="K19" i="54"/>
  <c r="H19" i="52"/>
  <c r="J19" i="54"/>
  <c r="G19" i="52" s="1"/>
  <c r="K18" i="54"/>
  <c r="H18" i="52"/>
  <c r="L12" i="54"/>
  <c r="I12" i="52" s="1"/>
  <c r="I23" i="54"/>
  <c r="I21" i="54"/>
  <c r="F29" i="39" s="1"/>
  <c r="G19" i="54"/>
  <c r="D27" i="38" s="1"/>
  <c r="H24" i="54"/>
  <c r="E46" i="43" s="1"/>
  <c r="I24" i="54"/>
  <c r="N24" i="54"/>
  <c r="O24" i="54"/>
  <c r="P24" i="54"/>
  <c r="Q24" i="54"/>
  <c r="R24" i="54"/>
  <c r="H23" i="54"/>
  <c r="H22" i="54"/>
  <c r="I22" i="54"/>
  <c r="H21" i="54"/>
  <c r="E29" i="39" s="1"/>
  <c r="N21" i="54"/>
  <c r="O21" i="54"/>
  <c r="P21" i="54"/>
  <c r="Q21" i="54"/>
  <c r="R21" i="54"/>
  <c r="I20" i="54"/>
  <c r="F37" i="37" s="1"/>
  <c r="N20" i="54"/>
  <c r="O20" i="54"/>
  <c r="P20" i="54"/>
  <c r="Q20" i="54"/>
  <c r="R20" i="54"/>
  <c r="I19" i="54"/>
  <c r="F27" i="38" s="1"/>
  <c r="N19" i="54"/>
  <c r="O19" i="54"/>
  <c r="P19" i="54"/>
  <c r="Q19" i="54"/>
  <c r="R19" i="54"/>
  <c r="I18" i="54"/>
  <c r="F49" i="36" s="1"/>
  <c r="N16" i="54"/>
  <c r="O16" i="54"/>
  <c r="P16" i="54"/>
  <c r="Q16" i="54"/>
  <c r="H15" i="54"/>
  <c r="E46" i="34" s="1"/>
  <c r="N15" i="54"/>
  <c r="O15" i="54"/>
  <c r="P15" i="54"/>
  <c r="Q15" i="54"/>
  <c r="H12" i="54"/>
  <c r="E36" i="32" s="1"/>
  <c r="N12" i="54"/>
  <c r="N9" i="54" s="1"/>
  <c r="O12" i="54"/>
  <c r="O9" i="54" s="1"/>
  <c r="P12" i="54"/>
  <c r="P9" i="54" s="1"/>
  <c r="Q12" i="54"/>
  <c r="H11" i="54"/>
  <c r="E40" i="31" s="1"/>
  <c r="H10" i="54"/>
  <c r="E45" i="30" s="1"/>
  <c r="H8" i="54"/>
  <c r="E48" i="29" s="1"/>
  <c r="G7" i="54"/>
  <c r="D33" i="28" s="1"/>
  <c r="H7" i="54"/>
  <c r="E33" i="28" s="1"/>
  <c r="N6" i="54"/>
  <c r="N5" i="54" s="1"/>
  <c r="O6" i="54"/>
  <c r="O5" i="54" s="1"/>
  <c r="P6" i="54"/>
  <c r="P5" i="54" s="1"/>
  <c r="Q6" i="54"/>
  <c r="R6" i="54"/>
  <c r="G24" i="54"/>
  <c r="D46" i="43" s="1"/>
  <c r="G23" i="54"/>
  <c r="T23" i="54" s="1"/>
  <c r="G22" i="54"/>
  <c r="G21" i="54"/>
  <c r="D29" i="39" s="1"/>
  <c r="G20" i="54"/>
  <c r="D37" i="37" s="1"/>
  <c r="H20" i="54"/>
  <c r="E37" i="37" s="1"/>
  <c r="H19" i="54"/>
  <c r="G18" i="54"/>
  <c r="D49" i="36" s="1"/>
  <c r="H18" i="54"/>
  <c r="G16" i="54"/>
  <c r="D54" i="50" s="1"/>
  <c r="H16" i="54"/>
  <c r="E54" i="50" s="1"/>
  <c r="G15" i="54"/>
  <c r="D46" i="34" s="1"/>
  <c r="G14" i="54"/>
  <c r="D57" i="33" s="1"/>
  <c r="H14" i="54"/>
  <c r="E57" i="33" s="1"/>
  <c r="F16" i="54"/>
  <c r="C54" i="50" s="1"/>
  <c r="F15" i="54"/>
  <c r="C46" i="34" s="1"/>
  <c r="F14" i="54"/>
  <c r="C57" i="33" s="1"/>
  <c r="G12" i="54"/>
  <c r="G11" i="54"/>
  <c r="G10" i="54"/>
  <c r="F12" i="54"/>
  <c r="C36" i="32" s="1"/>
  <c r="F11" i="54"/>
  <c r="F10" i="54"/>
  <c r="C45" i="30" s="1"/>
  <c r="G8" i="54"/>
  <c r="D48" i="29" s="1"/>
  <c r="F8" i="54"/>
  <c r="C48" i="29" s="1"/>
  <c r="F7" i="54"/>
  <c r="C33" i="28" s="1"/>
  <c r="G6" i="54"/>
  <c r="H6" i="54"/>
  <c r="E56" i="27" s="1"/>
  <c r="F6" i="54"/>
  <c r="F24" i="54"/>
  <c r="S24" i="54" s="1"/>
  <c r="F23" i="54"/>
  <c r="F22" i="54"/>
  <c r="F21" i="54"/>
  <c r="C29" i="39" s="1"/>
  <c r="F20" i="54"/>
  <c r="C37" i="37" s="1"/>
  <c r="F19" i="54"/>
  <c r="C27" i="38" s="1"/>
  <c r="F18" i="54"/>
  <c r="E24" i="54"/>
  <c r="Q23" i="54"/>
  <c r="E23" i="54"/>
  <c r="Q22" i="54"/>
  <c r="E22" i="54"/>
  <c r="E21" i="54"/>
  <c r="E20" i="54"/>
  <c r="E19" i="54"/>
  <c r="Q18" i="54"/>
  <c r="E18" i="54"/>
  <c r="D17" i="54"/>
  <c r="D25" i="54" s="1"/>
  <c r="D26" i="54" s="1"/>
  <c r="C17" i="54"/>
  <c r="B17" i="54"/>
  <c r="B25" i="54" s="1"/>
  <c r="B26" i="54" s="1"/>
  <c r="E16" i="54"/>
  <c r="E15" i="54"/>
  <c r="Q14" i="54"/>
  <c r="E14" i="54"/>
  <c r="D13" i="54"/>
  <c r="C13" i="54"/>
  <c r="B13" i="54"/>
  <c r="E12" i="54"/>
  <c r="Q11" i="54"/>
  <c r="E11" i="54"/>
  <c r="Q10" i="54"/>
  <c r="E10" i="54"/>
  <c r="D9" i="54"/>
  <c r="C9" i="54"/>
  <c r="C4" i="54" s="1"/>
  <c r="B9" i="54"/>
  <c r="Q8" i="54"/>
  <c r="E8" i="54"/>
  <c r="E6" i="54"/>
  <c r="E5" i="54" s="1"/>
  <c r="E7" i="54"/>
  <c r="Q7" i="54"/>
  <c r="D5" i="54"/>
  <c r="D4" i="54" s="1"/>
  <c r="C5" i="54"/>
  <c r="B5" i="54"/>
  <c r="B4" i="54" s="1"/>
  <c r="D33" i="43"/>
  <c r="K24" i="54" s="1"/>
  <c r="F32" i="43"/>
  <c r="E34" i="36"/>
  <c r="E35" i="36"/>
  <c r="E33" i="36"/>
  <c r="F64" i="36"/>
  <c r="C32" i="37"/>
  <c r="F32" i="37" s="1"/>
  <c r="C30" i="37"/>
  <c r="F30" i="37" s="1"/>
  <c r="C31" i="37"/>
  <c r="E23" i="38"/>
  <c r="F23" i="38" s="1"/>
  <c r="F14" i="38"/>
  <c r="F10" i="38"/>
  <c r="F15" i="38" s="1"/>
  <c r="E21" i="38"/>
  <c r="F31" i="38"/>
  <c r="C31" i="38"/>
  <c r="E41" i="34"/>
  <c r="F67" i="34" s="1"/>
  <c r="C30" i="32"/>
  <c r="C31" i="32"/>
  <c r="C29" i="32"/>
  <c r="C32" i="32" s="1"/>
  <c r="F10" i="27"/>
  <c r="F18" i="27"/>
  <c r="F28" i="28"/>
  <c r="N24" i="52"/>
  <c r="F24" i="52"/>
  <c r="N23" i="52"/>
  <c r="F23" i="52"/>
  <c r="N22" i="52"/>
  <c r="F22" i="52"/>
  <c r="N21" i="52"/>
  <c r="F21" i="52"/>
  <c r="N20" i="52"/>
  <c r="F20" i="52"/>
  <c r="N19" i="52"/>
  <c r="N17" i="52" s="1"/>
  <c r="F19" i="52"/>
  <c r="N18" i="52"/>
  <c r="F18" i="52"/>
  <c r="F17" i="52"/>
  <c r="M17" i="52"/>
  <c r="L17" i="52"/>
  <c r="K17" i="52"/>
  <c r="E17" i="52"/>
  <c r="D17" i="52"/>
  <c r="C17" i="52"/>
  <c r="N16" i="52"/>
  <c r="F16" i="52"/>
  <c r="N15" i="52"/>
  <c r="F15" i="52"/>
  <c r="N14" i="52"/>
  <c r="F14" i="52"/>
  <c r="F13" i="52" s="1"/>
  <c r="M13" i="52"/>
  <c r="L13" i="52"/>
  <c r="L4" i="52" s="1"/>
  <c r="K13" i="52"/>
  <c r="E13" i="52"/>
  <c r="D13" i="52"/>
  <c r="D25" i="52" s="1"/>
  <c r="C13" i="52"/>
  <c r="C9" i="52"/>
  <c r="C5" i="52"/>
  <c r="N12" i="52"/>
  <c r="F12" i="52"/>
  <c r="N11" i="52"/>
  <c r="F11" i="52"/>
  <c r="F9" i="52" s="1"/>
  <c r="N10" i="52"/>
  <c r="F10" i="52"/>
  <c r="M9" i="52"/>
  <c r="K9" i="52"/>
  <c r="L9" i="52"/>
  <c r="E9" i="52"/>
  <c r="E5" i="52"/>
  <c r="E4" i="52" s="1"/>
  <c r="D9" i="52"/>
  <c r="N8" i="52"/>
  <c r="F8" i="52"/>
  <c r="F6" i="52"/>
  <c r="F7" i="52"/>
  <c r="F5" i="52"/>
  <c r="F4" i="52" s="1"/>
  <c r="N7" i="52"/>
  <c r="N6" i="52"/>
  <c r="M5" i="52"/>
  <c r="M4" i="52" s="1"/>
  <c r="L5" i="52"/>
  <c r="K5" i="52"/>
  <c r="D5" i="52"/>
  <c r="F10" i="39"/>
  <c r="F15" i="39" s="1"/>
  <c r="F16" i="39" s="1"/>
  <c r="F14" i="39"/>
  <c r="C39" i="43"/>
  <c r="E50" i="27"/>
  <c r="E33" i="31"/>
  <c r="E36" i="31" s="1"/>
  <c r="D42" i="36"/>
  <c r="C40" i="43"/>
  <c r="E34" i="31"/>
  <c r="D43" i="36"/>
  <c r="C41" i="43"/>
  <c r="D44" i="36"/>
  <c r="E44" i="36" s="1"/>
  <c r="C44" i="36"/>
  <c r="C42" i="43"/>
  <c r="F12" i="44"/>
  <c r="C50" i="27"/>
  <c r="C42" i="36"/>
  <c r="C40" i="37"/>
  <c r="C41" i="37"/>
  <c r="C42" i="37"/>
  <c r="C51" i="27"/>
  <c r="C52" i="27"/>
  <c r="C43" i="36"/>
  <c r="E43" i="36"/>
  <c r="E42" i="36"/>
  <c r="E45" i="36" s="1"/>
  <c r="E46" i="36" s="1"/>
  <c r="D14" i="44"/>
  <c r="C5" i="44"/>
  <c r="D5" i="44" s="1"/>
  <c r="C7" i="44"/>
  <c r="D7" i="44" s="1"/>
  <c r="C33" i="36"/>
  <c r="C36" i="36" s="1"/>
  <c r="C34" i="36"/>
  <c r="C35" i="36"/>
  <c r="F34" i="36"/>
  <c r="F35" i="36"/>
  <c r="F11" i="28"/>
  <c r="C33" i="31"/>
  <c r="C34" i="31"/>
  <c r="C35" i="31"/>
  <c r="F35" i="31"/>
  <c r="F29" i="32"/>
  <c r="C15" i="45"/>
  <c r="C14" i="45" s="1"/>
  <c r="E15" i="45"/>
  <c r="E14" i="45" s="1"/>
  <c r="E41" i="30"/>
  <c r="E11" i="45" s="1"/>
  <c r="E10" i="45" s="1"/>
  <c r="E12" i="45"/>
  <c r="C16" i="45"/>
  <c r="F16" i="45" s="1"/>
  <c r="C17" i="45"/>
  <c r="F17" i="45"/>
  <c r="D17" i="45"/>
  <c r="E17" i="45"/>
  <c r="F18" i="37"/>
  <c r="F23" i="37"/>
  <c r="F24" i="37" s="1"/>
  <c r="F25" i="37" s="1"/>
  <c r="F26" i="37" s="1"/>
  <c r="F10" i="36"/>
  <c r="F17" i="36"/>
  <c r="F26" i="36" s="1"/>
  <c r="F21" i="36"/>
  <c r="F25" i="36"/>
  <c r="F5" i="44"/>
  <c r="F6" i="44"/>
  <c r="F7" i="44"/>
  <c r="D42" i="37"/>
  <c r="C12" i="44"/>
  <c r="D40" i="37"/>
  <c r="F10" i="31"/>
  <c r="F18" i="31"/>
  <c r="F22" i="31"/>
  <c r="F25" i="31"/>
  <c r="F18" i="32"/>
  <c r="F22" i="32"/>
  <c r="F10" i="32"/>
  <c r="F30" i="27"/>
  <c r="F34" i="27"/>
  <c r="C10" i="24"/>
  <c r="F32" i="24" s="1"/>
  <c r="C19" i="24"/>
  <c r="C9" i="24"/>
  <c r="F31" i="24" s="1"/>
  <c r="C18" i="24"/>
  <c r="C8" i="24"/>
  <c r="C17" i="24"/>
  <c r="F30" i="24" s="1"/>
  <c r="C7" i="24"/>
  <c r="C16" i="24"/>
  <c r="F29" i="24"/>
  <c r="C6" i="24"/>
  <c r="C15" i="24"/>
  <c r="C5" i="24"/>
  <c r="C14" i="24"/>
  <c r="D15" i="24"/>
  <c r="D16" i="24"/>
  <c r="D17" i="24"/>
  <c r="D18" i="24"/>
  <c r="D19" i="24"/>
  <c r="D14" i="24"/>
  <c r="D20" i="24"/>
  <c r="D21" i="24" s="1"/>
  <c r="D23" i="24" s="1"/>
  <c r="D5" i="24"/>
  <c r="D11" i="24"/>
  <c r="D6" i="24"/>
  <c r="D7" i="24"/>
  <c r="D8" i="24"/>
  <c r="D9" i="24"/>
  <c r="D10" i="24"/>
  <c r="F15" i="24"/>
  <c r="F16" i="24"/>
  <c r="F17" i="24"/>
  <c r="F18" i="24"/>
  <c r="F19" i="24"/>
  <c r="F14" i="24"/>
  <c r="F20" i="24" s="1"/>
  <c r="F21" i="24" s="1"/>
  <c r="E15" i="24"/>
  <c r="E16" i="24"/>
  <c r="E17" i="24"/>
  <c r="E18" i="24"/>
  <c r="E19" i="24"/>
  <c r="E14" i="24"/>
  <c r="D4" i="25"/>
  <c r="D8" i="25"/>
  <c r="D12" i="25"/>
  <c r="E4" i="25"/>
  <c r="E8" i="25"/>
  <c r="E12" i="25"/>
  <c r="E24" i="25" s="1"/>
  <c r="F5" i="25"/>
  <c r="F7" i="25"/>
  <c r="C7" i="25"/>
  <c r="F9" i="25"/>
  <c r="F10" i="25"/>
  <c r="F13" i="25"/>
  <c r="C13" i="25" s="1"/>
  <c r="F14" i="25"/>
  <c r="C14" i="25"/>
  <c r="C15" i="25"/>
  <c r="F12" i="25"/>
  <c r="C6" i="25"/>
  <c r="C9" i="25"/>
  <c r="C11" i="25"/>
  <c r="D16" i="25"/>
  <c r="E16" i="25"/>
  <c r="F23" i="25"/>
  <c r="C23" i="25" s="1"/>
  <c r="F18" i="25"/>
  <c r="F17" i="25"/>
  <c r="C17" i="25"/>
  <c r="C19" i="25"/>
  <c r="C20" i="25"/>
  <c r="C21" i="25"/>
  <c r="C22" i="25"/>
  <c r="F6" i="24"/>
  <c r="F7" i="24"/>
  <c r="F8" i="24"/>
  <c r="F9" i="24"/>
  <c r="F10" i="24"/>
  <c r="F5" i="24"/>
  <c r="F11" i="24" s="1"/>
  <c r="E20" i="24"/>
  <c r="U5" i="20"/>
  <c r="H5" i="20" s="1"/>
  <c r="E5" i="24"/>
  <c r="E11" i="24" s="1"/>
  <c r="E21" i="24" s="1"/>
  <c r="E23" i="24" s="1"/>
  <c r="U6" i="20"/>
  <c r="H6" i="20"/>
  <c r="U7" i="20"/>
  <c r="H7" i="20"/>
  <c r="E7" i="24" s="1"/>
  <c r="U8" i="20"/>
  <c r="U9" i="20"/>
  <c r="U12" i="20" s="1"/>
  <c r="U10" i="20"/>
  <c r="U11" i="20"/>
  <c r="H11" i="20"/>
  <c r="E10" i="24"/>
  <c r="C20" i="24"/>
  <c r="AA19" i="20"/>
  <c r="I19" i="20" s="1"/>
  <c r="O21" i="20"/>
  <c r="G21" i="20" s="1"/>
  <c r="O9" i="20"/>
  <c r="G9" i="20"/>
  <c r="Z22" i="20"/>
  <c r="Y22" i="20"/>
  <c r="X22" i="20"/>
  <c r="T22" i="20"/>
  <c r="S22" i="20"/>
  <c r="S23" i="20" s="1"/>
  <c r="S12" i="20"/>
  <c r="R22" i="20"/>
  <c r="R23" i="20" s="1"/>
  <c r="R25" i="20" s="1"/>
  <c r="R12" i="20"/>
  <c r="R24" i="20"/>
  <c r="N22" i="20"/>
  <c r="M22" i="20"/>
  <c r="L22" i="20"/>
  <c r="AA21" i="20"/>
  <c r="I21" i="20" s="1"/>
  <c r="U21" i="20"/>
  <c r="H21" i="20" s="1"/>
  <c r="E21" i="20"/>
  <c r="D21" i="20"/>
  <c r="F21" i="20" s="1"/>
  <c r="C21" i="20"/>
  <c r="AA20" i="20"/>
  <c r="I20" i="20"/>
  <c r="U20" i="20"/>
  <c r="H20" i="20" s="1"/>
  <c r="O20" i="20"/>
  <c r="G20" i="20"/>
  <c r="E20" i="20"/>
  <c r="F20" i="20" s="1"/>
  <c r="D20" i="20"/>
  <c r="C20" i="20"/>
  <c r="U19" i="20"/>
  <c r="H19" i="20"/>
  <c r="O19" i="20"/>
  <c r="G19" i="20" s="1"/>
  <c r="E19" i="20"/>
  <c r="C19" i="20"/>
  <c r="D19" i="20"/>
  <c r="AA18" i="20"/>
  <c r="I18" i="20"/>
  <c r="U18" i="20"/>
  <c r="H18" i="20" s="1"/>
  <c r="O18" i="20"/>
  <c r="G18" i="20" s="1"/>
  <c r="E18" i="20"/>
  <c r="D18" i="20"/>
  <c r="C18" i="20"/>
  <c r="AA17" i="20"/>
  <c r="I17" i="20"/>
  <c r="U17" i="20"/>
  <c r="H17" i="20"/>
  <c r="O17" i="20"/>
  <c r="E17" i="20"/>
  <c r="D17" i="20"/>
  <c r="C17" i="20"/>
  <c r="AA16" i="20"/>
  <c r="I16" i="20"/>
  <c r="U16" i="20"/>
  <c r="H16" i="20"/>
  <c r="O16" i="20"/>
  <c r="G16" i="20"/>
  <c r="E16" i="20"/>
  <c r="D16" i="20"/>
  <c r="C16" i="20"/>
  <c r="C15" i="20"/>
  <c r="AA15" i="20"/>
  <c r="AA22" i="20" s="1"/>
  <c r="I15" i="20"/>
  <c r="I22" i="20" s="1"/>
  <c r="U15" i="20"/>
  <c r="O15" i="20"/>
  <c r="G15" i="20"/>
  <c r="E15" i="20"/>
  <c r="D15" i="20"/>
  <c r="Z12" i="20"/>
  <c r="Z23" i="20" s="1"/>
  <c r="Z24" i="20" s="1"/>
  <c r="Y12" i="20"/>
  <c r="Y23" i="20" s="1"/>
  <c r="X12" i="20"/>
  <c r="X23" i="20" s="1"/>
  <c r="X24" i="20" s="1"/>
  <c r="T12" i="20"/>
  <c r="N12" i="20"/>
  <c r="N23" i="20" s="1"/>
  <c r="M12" i="20"/>
  <c r="L12" i="20"/>
  <c r="AA11" i="20"/>
  <c r="I11" i="20" s="1"/>
  <c r="O11" i="20"/>
  <c r="G11" i="20" s="1"/>
  <c r="E11" i="20"/>
  <c r="D11" i="20"/>
  <c r="F11" i="20" s="1"/>
  <c r="C11" i="20"/>
  <c r="AA10" i="20"/>
  <c r="I10" i="20"/>
  <c r="H10" i="20"/>
  <c r="O10" i="20"/>
  <c r="G10" i="20" s="1"/>
  <c r="E10" i="20"/>
  <c r="D10" i="20"/>
  <c r="C10" i="20"/>
  <c r="F10" i="20" s="1"/>
  <c r="AA9" i="20"/>
  <c r="I9" i="20"/>
  <c r="E9" i="20"/>
  <c r="D9" i="20"/>
  <c r="C9" i="20"/>
  <c r="F9" i="20" s="1"/>
  <c r="AA8" i="20"/>
  <c r="O8" i="20"/>
  <c r="G8" i="20" s="1"/>
  <c r="E8" i="20"/>
  <c r="D8" i="20"/>
  <c r="C8" i="20"/>
  <c r="AA7" i="20"/>
  <c r="I7" i="20"/>
  <c r="O7" i="20"/>
  <c r="G7" i="20"/>
  <c r="E7" i="20"/>
  <c r="C7" i="20"/>
  <c r="F7" i="20" s="1"/>
  <c r="D7" i="20"/>
  <c r="AA6" i="20"/>
  <c r="I6" i="20"/>
  <c r="O6" i="20"/>
  <c r="E6" i="20"/>
  <c r="E5" i="20"/>
  <c r="E12" i="20"/>
  <c r="D6" i="20"/>
  <c r="C6" i="20"/>
  <c r="AA5" i="20"/>
  <c r="I5" i="20"/>
  <c r="O5" i="20"/>
  <c r="G5" i="20"/>
  <c r="D5" i="20"/>
  <c r="D12" i="20"/>
  <c r="C5" i="20"/>
  <c r="L23" i="20"/>
  <c r="F18" i="20"/>
  <c r="F8" i="20"/>
  <c r="T23" i="20"/>
  <c r="T24" i="20" s="1"/>
  <c r="F16" i="20"/>
  <c r="F17" i="20"/>
  <c r="N24" i="20"/>
  <c r="T25" i="20"/>
  <c r="D45" i="36"/>
  <c r="E42" i="37"/>
  <c r="C45" i="36"/>
  <c r="C46" i="36"/>
  <c r="E36" i="36"/>
  <c r="F27" i="36"/>
  <c r="D11" i="44"/>
  <c r="D15" i="44" s="1"/>
  <c r="E16" i="45"/>
  <c r="E25" i="45"/>
  <c r="F25" i="45"/>
  <c r="E20" i="45"/>
  <c r="D38" i="36"/>
  <c r="E19" i="45"/>
  <c r="E18" i="45"/>
  <c r="D46" i="36"/>
  <c r="D24" i="45"/>
  <c r="D15" i="45"/>
  <c r="D14" i="45" s="1"/>
  <c r="D11" i="45"/>
  <c r="D36" i="31"/>
  <c r="D32" i="32"/>
  <c r="C37" i="36"/>
  <c r="D16" i="45"/>
  <c r="E47" i="36"/>
  <c r="R12" i="54"/>
  <c r="R16" i="54"/>
  <c r="R15" i="54"/>
  <c r="D4" i="52"/>
  <c r="K4" i="52"/>
  <c r="K25" i="52"/>
  <c r="K26" i="52" s="1"/>
  <c r="K27" i="52"/>
  <c r="D34" i="43"/>
  <c r="F11" i="44"/>
  <c r="F15" i="44" s="1"/>
  <c r="E51" i="27"/>
  <c r="F13" i="44"/>
  <c r="D35" i="43"/>
  <c r="F51" i="27"/>
  <c r="F19" i="28"/>
  <c r="F20" i="28" s="1"/>
  <c r="C8" i="45"/>
  <c r="F8" i="45" s="1"/>
  <c r="C11" i="45"/>
  <c r="F11" i="45" s="1"/>
  <c r="C36" i="31"/>
  <c r="C12" i="45" s="1"/>
  <c r="F48" i="50"/>
  <c r="E49" i="50"/>
  <c r="F47" i="50"/>
  <c r="F55" i="31"/>
  <c r="C55" i="31" s="1"/>
  <c r="C62" i="31" s="1"/>
  <c r="F26" i="28"/>
  <c r="C44" i="28"/>
  <c r="C45" i="28"/>
  <c r="C76" i="50"/>
  <c r="C74" i="50"/>
  <c r="F31" i="32"/>
  <c r="C64" i="30"/>
  <c r="C54" i="30"/>
  <c r="C63" i="30"/>
  <c r="F40" i="30"/>
  <c r="K11" i="54"/>
  <c r="H11" i="52" s="1"/>
  <c r="D37" i="31"/>
  <c r="D45" i="29"/>
  <c r="F20" i="45"/>
  <c r="D42" i="30"/>
  <c r="K10" i="54"/>
  <c r="H10" i="52"/>
  <c r="C42" i="30"/>
  <c r="C43" i="30"/>
  <c r="J10" i="54"/>
  <c r="F61" i="30"/>
  <c r="D57" i="30"/>
  <c r="F38" i="30"/>
  <c r="D68" i="30"/>
  <c r="F17" i="39"/>
  <c r="F28" i="36"/>
  <c r="F21" i="28"/>
  <c r="U7" i="54"/>
  <c r="E53" i="33"/>
  <c r="F76" i="33"/>
  <c r="F79" i="33" s="1"/>
  <c r="E72" i="33"/>
  <c r="T19" i="54"/>
  <c r="G10" i="52"/>
  <c r="E54" i="33"/>
  <c r="E55" i="33"/>
  <c r="L14" i="54"/>
  <c r="D43" i="30"/>
  <c r="E40" i="37"/>
  <c r="Y24" i="20"/>
  <c r="Y25" i="20"/>
  <c r="E22" i="20"/>
  <c r="E23" i="20"/>
  <c r="S24" i="20"/>
  <c r="E22" i="24"/>
  <c r="L24" i="20"/>
  <c r="F59" i="31"/>
  <c r="F34" i="31"/>
  <c r="I8" i="20"/>
  <c r="F22" i="24"/>
  <c r="F23" i="24"/>
  <c r="D22" i="24"/>
  <c r="C12" i="20"/>
  <c r="F5" i="20"/>
  <c r="F6" i="20"/>
  <c r="F12" i="20" s="1"/>
  <c r="AA12" i="20"/>
  <c r="AA23" i="20" s="1"/>
  <c r="F23" i="32"/>
  <c r="F24" i="32" s="1"/>
  <c r="F25" i="32" s="1"/>
  <c r="C43" i="43"/>
  <c r="C44" i="32"/>
  <c r="C47" i="32" s="1"/>
  <c r="C66" i="50"/>
  <c r="C51" i="39"/>
  <c r="F65" i="30"/>
  <c r="F39" i="30"/>
  <c r="C57" i="30"/>
  <c r="F26" i="43"/>
  <c r="E6" i="24"/>
  <c r="F26" i="27"/>
  <c r="F35" i="27" s="1"/>
  <c r="F36" i="27" s="1"/>
  <c r="F71" i="36"/>
  <c r="C64" i="36"/>
  <c r="O12" i="20"/>
  <c r="G6" i="20"/>
  <c r="F4" i="25"/>
  <c r="F26" i="31"/>
  <c r="F27" i="31"/>
  <c r="E71" i="27"/>
  <c r="E37" i="36"/>
  <c r="L18" i="54"/>
  <c r="N25" i="20"/>
  <c r="G17" i="20"/>
  <c r="G22" i="20"/>
  <c r="O22" i="20"/>
  <c r="O23" i="20" s="1"/>
  <c r="I22" i="52"/>
  <c r="F78" i="33"/>
  <c r="D47" i="32"/>
  <c r="F42" i="27"/>
  <c r="C67" i="30"/>
  <c r="F46" i="50"/>
  <c r="F49" i="50"/>
  <c r="F50" i="50" s="1"/>
  <c r="C49" i="50"/>
  <c r="C51" i="50" s="1"/>
  <c r="C33" i="37"/>
  <c r="C68" i="33"/>
  <c r="D60" i="36"/>
  <c r="C47" i="36"/>
  <c r="H8" i="20"/>
  <c r="E8" i="24"/>
  <c r="L25" i="52"/>
  <c r="L26" i="52"/>
  <c r="L27" i="52" s="1"/>
  <c r="H22" i="52"/>
  <c r="C49" i="38"/>
  <c r="D67" i="37"/>
  <c r="E75" i="27"/>
  <c r="E33" i="43"/>
  <c r="E34" i="43" s="1"/>
  <c r="F29" i="43"/>
  <c r="F68" i="43"/>
  <c r="D47" i="36"/>
  <c r="H15" i="20"/>
  <c r="H22" i="20"/>
  <c r="U22" i="20"/>
  <c r="U23" i="20" s="1"/>
  <c r="C5" i="25"/>
  <c r="C4" i="25" s="1"/>
  <c r="F36" i="36"/>
  <c r="C38" i="36"/>
  <c r="F38" i="36" s="1"/>
  <c r="C19" i="45"/>
  <c r="J18" i="54"/>
  <c r="F16" i="38"/>
  <c r="F17" i="38"/>
  <c r="D51" i="31"/>
  <c r="D22" i="20"/>
  <c r="D23" i="20"/>
  <c r="D24" i="20" s="1"/>
  <c r="D25" i="20" s="1"/>
  <c r="F21" i="38"/>
  <c r="F33" i="31"/>
  <c r="E24" i="38"/>
  <c r="F24" i="38" s="1"/>
  <c r="C25" i="39"/>
  <c r="C26" i="39" s="1"/>
  <c r="C44" i="43"/>
  <c r="C45" i="43"/>
  <c r="C59" i="31"/>
  <c r="F62" i="31"/>
  <c r="H23" i="52"/>
  <c r="L24" i="54"/>
  <c r="F33" i="43"/>
  <c r="D77" i="50"/>
  <c r="E37" i="31"/>
  <c r="E38" i="31" s="1"/>
  <c r="L11" i="54"/>
  <c r="E25" i="38"/>
  <c r="F25" i="38" s="1"/>
  <c r="C75" i="27"/>
  <c r="E38" i="36"/>
  <c r="F37" i="36"/>
  <c r="F41" i="30"/>
  <c r="L10" i="54"/>
  <c r="I10" i="52"/>
  <c r="J10" i="52" s="1"/>
  <c r="E42" i="30"/>
  <c r="E43" i="30" s="1"/>
  <c r="F43" i="30" s="1"/>
  <c r="C50" i="50"/>
  <c r="F36" i="31"/>
  <c r="G18" i="52"/>
  <c r="U24" i="20"/>
  <c r="U25" i="20" s="1"/>
  <c r="J20" i="54"/>
  <c r="C34" i="37"/>
  <c r="C35" i="37"/>
  <c r="C21" i="45"/>
  <c r="C72" i="33"/>
  <c r="C65" i="30"/>
  <c r="F68" i="30"/>
  <c r="C23" i="45"/>
  <c r="F23" i="45"/>
  <c r="G22" i="52"/>
  <c r="F19" i="45"/>
  <c r="D50" i="27"/>
  <c r="F50" i="27" s="1"/>
  <c r="F41" i="27"/>
  <c r="E11" i="44"/>
  <c r="E15" i="44" s="1"/>
  <c r="E16" i="44" s="1"/>
  <c r="E18" i="44" s="1"/>
  <c r="AA24" i="20"/>
  <c r="AA25" i="20"/>
  <c r="J11" i="54"/>
  <c r="S11" i="54"/>
  <c r="C37" i="31"/>
  <c r="C38" i="31"/>
  <c r="E24" i="20"/>
  <c r="E25" i="20" s="1"/>
  <c r="F28" i="31"/>
  <c r="F29" i="31"/>
  <c r="E26" i="38"/>
  <c r="F26" i="38"/>
  <c r="G11" i="52"/>
  <c r="F37" i="31"/>
  <c r="F38" i="31"/>
  <c r="M11" i="54"/>
  <c r="E67" i="34"/>
  <c r="D26" i="52"/>
  <c r="D27" i="52" s="1"/>
  <c r="M25" i="52"/>
  <c r="M26" i="52"/>
  <c r="M27" i="52"/>
  <c r="F25" i="52"/>
  <c r="E13" i="54"/>
  <c r="E9" i="54"/>
  <c r="E4" i="54"/>
  <c r="T22" i="54"/>
  <c r="G20" i="52"/>
  <c r="E17" i="54"/>
  <c r="E25" i="54" s="1"/>
  <c r="B27" i="54"/>
  <c r="L9" i="54"/>
  <c r="R11" i="54"/>
  <c r="I11" i="52"/>
  <c r="I9" i="52" s="1"/>
  <c r="I18" i="52"/>
  <c r="J18" i="52"/>
  <c r="O18" i="52" s="1"/>
  <c r="M10" i="54"/>
  <c r="M18" i="54"/>
  <c r="H24" i="52"/>
  <c r="I24" i="52"/>
  <c r="J24" i="52" s="1"/>
  <c r="O24" i="52" s="1"/>
  <c r="M24" i="54"/>
  <c r="E27" i="38"/>
  <c r="F26" i="52"/>
  <c r="F27" i="52"/>
  <c r="R10" i="54"/>
  <c r="J11" i="52"/>
  <c r="O11" i="52" s="1"/>
  <c r="R18" i="54"/>
  <c r="C11" i="44" l="1"/>
  <c r="C15" i="44" s="1"/>
  <c r="N13" i="54"/>
  <c r="O10" i="52"/>
  <c r="F34" i="43"/>
  <c r="E35" i="43"/>
  <c r="F35" i="43" s="1"/>
  <c r="E26" i="54"/>
  <c r="E27" i="54" s="1"/>
  <c r="O24" i="20"/>
  <c r="O25" i="20" s="1"/>
  <c r="E50" i="50"/>
  <c r="L16" i="54"/>
  <c r="D13" i="45"/>
  <c r="K12" i="54"/>
  <c r="C22" i="20"/>
  <c r="C23" i="20" s="1"/>
  <c r="F15" i="20"/>
  <c r="C18" i="25"/>
  <c r="C16" i="25" s="1"/>
  <c r="F16" i="25"/>
  <c r="C10" i="25"/>
  <c r="F8" i="25"/>
  <c r="F3" i="25" s="1"/>
  <c r="C53" i="27"/>
  <c r="D13" i="44"/>
  <c r="C25" i="54"/>
  <c r="T11" i="54"/>
  <c r="F35" i="38"/>
  <c r="F22" i="38"/>
  <c r="F42" i="30"/>
  <c r="J21" i="54"/>
  <c r="E51" i="50"/>
  <c r="F22" i="28"/>
  <c r="D38" i="31"/>
  <c r="D12" i="45"/>
  <c r="I12" i="20"/>
  <c r="I23" i="20" s="1"/>
  <c r="C8" i="25"/>
  <c r="C3" i="25" s="1"/>
  <c r="E25" i="25"/>
  <c r="E26" i="25"/>
  <c r="F33" i="36"/>
  <c r="N5" i="52"/>
  <c r="E70" i="50"/>
  <c r="E15" i="53" s="1"/>
  <c r="D49" i="50"/>
  <c r="C6" i="44"/>
  <c r="D6" i="44" s="1"/>
  <c r="D37" i="39"/>
  <c r="D9" i="53"/>
  <c r="C64" i="27"/>
  <c r="C67" i="27" s="1"/>
  <c r="D67" i="27"/>
  <c r="C60" i="36"/>
  <c r="D59" i="29"/>
  <c r="C52" i="29"/>
  <c r="C59" i="29" s="1"/>
  <c r="C70" i="36"/>
  <c r="C71" i="36" s="1"/>
  <c r="D71" i="36"/>
  <c r="J16" i="54"/>
  <c r="G16" i="52" s="1"/>
  <c r="F51" i="50"/>
  <c r="L19" i="54"/>
  <c r="C27" i="39"/>
  <c r="F15" i="53"/>
  <c r="C61" i="30"/>
  <c r="C68" i="30" s="1"/>
  <c r="G41" i="30" s="1"/>
  <c r="X25" i="20"/>
  <c r="F27" i="24"/>
  <c r="F33" i="24" s="1"/>
  <c r="C25" i="52"/>
  <c r="C4" i="52"/>
  <c r="C13" i="45"/>
  <c r="J12" i="54"/>
  <c r="F32" i="32"/>
  <c r="C33" i="32"/>
  <c r="C34" i="32"/>
  <c r="D27" i="54"/>
  <c r="D43" i="27"/>
  <c r="E77" i="27"/>
  <c r="F33" i="30"/>
  <c r="D33" i="32"/>
  <c r="D34" i="32" s="1"/>
  <c r="F29" i="36"/>
  <c r="F27" i="37"/>
  <c r="L25" i="20"/>
  <c r="G12" i="20"/>
  <c r="G23" i="20" s="1"/>
  <c r="Z25" i="20"/>
  <c r="S25" i="20"/>
  <c r="H9" i="20"/>
  <c r="D24" i="25"/>
  <c r="C22" i="45"/>
  <c r="F22" i="45" s="1"/>
  <c r="F18" i="39"/>
  <c r="D33" i="37"/>
  <c r="E64" i="37"/>
  <c r="C64" i="37" s="1"/>
  <c r="C67" i="37" s="1"/>
  <c r="G33" i="37" s="1"/>
  <c r="F31" i="37"/>
  <c r="D41" i="37"/>
  <c r="F19" i="53"/>
  <c r="F78" i="27"/>
  <c r="F19" i="20"/>
  <c r="N9" i="52"/>
  <c r="T12" i="54"/>
  <c r="E67" i="37"/>
  <c r="E68" i="30"/>
  <c r="D53" i="28"/>
  <c r="C53" i="28" s="1"/>
  <c r="C27" i="28"/>
  <c r="D49" i="28"/>
  <c r="F40" i="50"/>
  <c r="M23" i="20"/>
  <c r="C12" i="25"/>
  <c r="D3" i="25"/>
  <c r="E25" i="52"/>
  <c r="C51" i="31"/>
  <c r="G36" i="31" s="1"/>
  <c r="D78" i="27"/>
  <c r="F24" i="34"/>
  <c r="C11" i="24"/>
  <c r="C21" i="24" s="1"/>
  <c r="E3" i="25"/>
  <c r="F28" i="24"/>
  <c r="C43" i="37"/>
  <c r="N13" i="52"/>
  <c r="E55" i="32"/>
  <c r="F30" i="32"/>
  <c r="D44" i="27"/>
  <c r="C44" i="27"/>
  <c r="D21" i="53"/>
  <c r="F5" i="53"/>
  <c r="C5" i="53" s="1"/>
  <c r="U18" i="54"/>
  <c r="V24" i="54"/>
  <c r="F21" i="53"/>
  <c r="S18" i="54"/>
  <c r="T10" i="54"/>
  <c r="P13" i="54"/>
  <c r="P4" i="54" s="1"/>
  <c r="C56" i="43"/>
  <c r="C57" i="43" s="1"/>
  <c r="G33" i="43" s="1"/>
  <c r="E44" i="27"/>
  <c r="F35" i="29"/>
  <c r="F36" i="29" s="1"/>
  <c r="D11" i="53"/>
  <c r="D5" i="53"/>
  <c r="C46" i="43"/>
  <c r="D36" i="32"/>
  <c r="U20" i="54"/>
  <c r="U14" i="54"/>
  <c r="C49" i="36"/>
  <c r="C56" i="27"/>
  <c r="V18" i="54"/>
  <c r="I16" i="54"/>
  <c r="F54" i="50" s="1"/>
  <c r="I7" i="54"/>
  <c r="F33" i="28" s="1"/>
  <c r="O13" i="54"/>
  <c r="O4" i="54" s="1"/>
  <c r="F46" i="43"/>
  <c r="T18" i="54"/>
  <c r="Q13" i="54"/>
  <c r="U21" i="54"/>
  <c r="I11" i="54"/>
  <c r="F40" i="31" s="1"/>
  <c r="O17" i="54"/>
  <c r="Q17" i="54"/>
  <c r="I12" i="54"/>
  <c r="F36" i="32" s="1"/>
  <c r="S19" i="54"/>
  <c r="U24" i="54"/>
  <c r="P17" i="54"/>
  <c r="T24" i="54"/>
  <c r="S20" i="54"/>
  <c r="I15" i="54"/>
  <c r="F46" i="34" s="1"/>
  <c r="D45" i="30"/>
  <c r="U12" i="54"/>
  <c r="I10" i="54"/>
  <c r="Q9" i="54"/>
  <c r="N17" i="54"/>
  <c r="J22" i="52"/>
  <c r="O22" i="52" s="1"/>
  <c r="V22" i="54"/>
  <c r="R22" i="54"/>
  <c r="U23" i="54"/>
  <c r="F24" i="45"/>
  <c r="S23" i="54"/>
  <c r="J17" i="54"/>
  <c r="J23" i="52"/>
  <c r="M23" i="54"/>
  <c r="V23" i="54" s="1"/>
  <c r="I6" i="54"/>
  <c r="F9" i="54"/>
  <c r="G5" i="54"/>
  <c r="G9" i="54"/>
  <c r="E49" i="36"/>
  <c r="I17" i="54"/>
  <c r="H17" i="54"/>
  <c r="F17" i="54"/>
  <c r="G13" i="54"/>
  <c r="F5" i="54"/>
  <c r="I14" i="54"/>
  <c r="F57" i="33" s="1"/>
  <c r="S21" i="54"/>
  <c r="C40" i="31"/>
  <c r="D40" i="31"/>
  <c r="S22" i="54"/>
  <c r="F8" i="44"/>
  <c r="F16" i="44" s="1"/>
  <c r="F17" i="44" s="1"/>
  <c r="H5" i="54"/>
  <c r="G17" i="54"/>
  <c r="D56" i="27"/>
  <c r="U22" i="54"/>
  <c r="S10" i="54"/>
  <c r="I8" i="54"/>
  <c r="F48" i="29" s="1"/>
  <c r="U10" i="54"/>
  <c r="T7" i="54"/>
  <c r="H9" i="54"/>
  <c r="U9" i="54" s="1"/>
  <c r="T21" i="54"/>
  <c r="U16" i="54"/>
  <c r="H13" i="54"/>
  <c r="U11" i="54"/>
  <c r="F13" i="54"/>
  <c r="C67" i="29"/>
  <c r="F70" i="29"/>
  <c r="E45" i="29"/>
  <c r="E46" i="29" s="1"/>
  <c r="L8" i="54"/>
  <c r="I8" i="52" s="1"/>
  <c r="E9" i="45"/>
  <c r="F44" i="29"/>
  <c r="H8" i="52"/>
  <c r="T8" i="54"/>
  <c r="F37" i="29"/>
  <c r="F38" i="29" s="1"/>
  <c r="D9" i="45"/>
  <c r="C44" i="29"/>
  <c r="E70" i="29"/>
  <c r="D46" i="29"/>
  <c r="C69" i="29"/>
  <c r="C70" i="29" s="1"/>
  <c r="G44" i="29" s="1"/>
  <c r="D8" i="44"/>
  <c r="D16" i="44" s="1"/>
  <c r="D18" i="44" s="1"/>
  <c r="U8" i="54"/>
  <c r="C8" i="44"/>
  <c r="C16" i="44" s="1"/>
  <c r="C17" i="44" s="1"/>
  <c r="F14" i="44"/>
  <c r="E53" i="27"/>
  <c r="F43" i="27"/>
  <c r="F44" i="27" s="1"/>
  <c r="F37" i="27"/>
  <c r="F38" i="27" s="1"/>
  <c r="C71" i="27"/>
  <c r="E45" i="27"/>
  <c r="E46" i="27" s="1"/>
  <c r="Q5" i="54"/>
  <c r="N4" i="54"/>
  <c r="C78" i="33"/>
  <c r="C53" i="33"/>
  <c r="J14" i="54" s="1"/>
  <c r="S14" i="54" s="1"/>
  <c r="F43" i="33"/>
  <c r="F44" i="33" s="1"/>
  <c r="F45" i="33" s="1"/>
  <c r="I14" i="52"/>
  <c r="F15" i="45"/>
  <c r="F14" i="45" s="1"/>
  <c r="F53" i="33"/>
  <c r="F54" i="33" s="1"/>
  <c r="F55" i="33" s="1"/>
  <c r="D53" i="33"/>
  <c r="K14" i="54" s="1"/>
  <c r="E76" i="33"/>
  <c r="C76" i="33" s="1"/>
  <c r="E17" i="44"/>
  <c r="C57" i="34"/>
  <c r="E68" i="34"/>
  <c r="D42" i="34"/>
  <c r="C10" i="53"/>
  <c r="C20" i="53"/>
  <c r="D65" i="34"/>
  <c r="D19" i="53" s="1"/>
  <c r="F40" i="34"/>
  <c r="F39" i="34"/>
  <c r="C42" i="34"/>
  <c r="D61" i="34"/>
  <c r="D15" i="53" s="1"/>
  <c r="C67" i="34"/>
  <c r="F68" i="34"/>
  <c r="F41" i="34"/>
  <c r="C8" i="53"/>
  <c r="E42" i="34"/>
  <c r="F31" i="34"/>
  <c r="F32" i="34" s="1"/>
  <c r="F33" i="34" s="1"/>
  <c r="F34" i="34" s="1"/>
  <c r="C18" i="53"/>
  <c r="C11" i="53"/>
  <c r="C7" i="53"/>
  <c r="E12" i="53"/>
  <c r="C17" i="53"/>
  <c r="C6" i="53"/>
  <c r="C16" i="53"/>
  <c r="D12" i="53"/>
  <c r="F56" i="27" l="1"/>
  <c r="C22" i="24"/>
  <c r="C23" i="24"/>
  <c r="E27" i="52"/>
  <c r="E26" i="52"/>
  <c r="F41" i="50"/>
  <c r="F42" i="50"/>
  <c r="C26" i="52"/>
  <c r="C27" i="52" s="1"/>
  <c r="D10" i="45"/>
  <c r="F12" i="45"/>
  <c r="G21" i="52"/>
  <c r="M21" i="54"/>
  <c r="V21" i="54" s="1"/>
  <c r="F9" i="53"/>
  <c r="C9" i="53" s="1"/>
  <c r="F38" i="38"/>
  <c r="C35" i="38"/>
  <c r="C38" i="38" s="1"/>
  <c r="G24" i="38" s="1"/>
  <c r="C54" i="27"/>
  <c r="C55" i="27" s="1"/>
  <c r="C24" i="25"/>
  <c r="E6" i="45"/>
  <c r="S16" i="54"/>
  <c r="C55" i="32"/>
  <c r="C58" i="32" s="1"/>
  <c r="G32" i="32" s="1"/>
  <c r="E58" i="32"/>
  <c r="C49" i="28"/>
  <c r="C56" i="28" s="1"/>
  <c r="G29" i="28" s="1"/>
  <c r="D56" i="28"/>
  <c r="D25" i="25"/>
  <c r="D26" i="25" s="1"/>
  <c r="G24" i="20"/>
  <c r="G25" i="20" s="1"/>
  <c r="F34" i="30"/>
  <c r="F35" i="30" s="1"/>
  <c r="G12" i="52"/>
  <c r="S12" i="54"/>
  <c r="J9" i="54"/>
  <c r="F35" i="24"/>
  <c r="F34" i="24"/>
  <c r="K16" i="54"/>
  <c r="D50" i="50"/>
  <c r="D51" i="50" s="1"/>
  <c r="H12" i="52"/>
  <c r="H9" i="52" s="1"/>
  <c r="M12" i="54"/>
  <c r="M9" i="54" s="1"/>
  <c r="K9" i="54"/>
  <c r="L6" i="54"/>
  <c r="E7" i="45"/>
  <c r="J6" i="54"/>
  <c r="C45" i="27"/>
  <c r="C46" i="27" s="1"/>
  <c r="C7" i="45"/>
  <c r="F27" i="28"/>
  <c r="C29" i="28"/>
  <c r="K20" i="54"/>
  <c r="D34" i="37"/>
  <c r="F34" i="37" s="1"/>
  <c r="D21" i="45"/>
  <c r="F33" i="37"/>
  <c r="E9" i="24"/>
  <c r="H12" i="20"/>
  <c r="H23" i="20" s="1"/>
  <c r="E21" i="53"/>
  <c r="C77" i="27"/>
  <c r="C78" i="27" s="1"/>
  <c r="G44" i="27" s="1"/>
  <c r="E78" i="27"/>
  <c r="F34" i="32"/>
  <c r="C10" i="45"/>
  <c r="F13" i="45"/>
  <c r="M19" i="54"/>
  <c r="V19" i="54" s="1"/>
  <c r="L17" i="54"/>
  <c r="I19" i="52"/>
  <c r="E77" i="50"/>
  <c r="C70" i="50"/>
  <c r="C77" i="50" s="1"/>
  <c r="G32" i="50" s="1"/>
  <c r="N4" i="52"/>
  <c r="N25" i="52" s="1"/>
  <c r="N26" i="52" s="1"/>
  <c r="N27" i="52" s="1"/>
  <c r="C18" i="45"/>
  <c r="C26" i="54"/>
  <c r="C27" i="54" s="1"/>
  <c r="F22" i="20"/>
  <c r="F23" i="20" s="1"/>
  <c r="T9" i="54"/>
  <c r="V11" i="54"/>
  <c r="R9" i="54"/>
  <c r="K6" i="54"/>
  <c r="D7" i="45"/>
  <c r="D6" i="45" s="1"/>
  <c r="D5" i="45" s="1"/>
  <c r="D45" i="27"/>
  <c r="D46" i="27"/>
  <c r="C44" i="37"/>
  <c r="C45" i="37" s="1"/>
  <c r="E19" i="53"/>
  <c r="E22" i="53" s="1"/>
  <c r="E23" i="53" s="1"/>
  <c r="E24" i="53" s="1"/>
  <c r="M24" i="20"/>
  <c r="M25" i="20" s="1"/>
  <c r="D43" i="37"/>
  <c r="E43" i="37" s="1"/>
  <c r="E41" i="37"/>
  <c r="C13" i="44" s="1"/>
  <c r="E14" i="44"/>
  <c r="D52" i="27"/>
  <c r="F33" i="32"/>
  <c r="G36" i="36"/>
  <c r="D40" i="39"/>
  <c r="C37" i="39"/>
  <c r="C40" i="39" s="1"/>
  <c r="G25" i="39" s="1"/>
  <c r="I24" i="20"/>
  <c r="I25" i="20" s="1"/>
  <c r="U19" i="54"/>
  <c r="F24" i="25"/>
  <c r="C24" i="20"/>
  <c r="C25" i="20"/>
  <c r="I16" i="52"/>
  <c r="M16" i="54"/>
  <c r="N25" i="54"/>
  <c r="N26" i="54" s="1"/>
  <c r="N27" i="54" s="1"/>
  <c r="V16" i="54"/>
  <c r="O25" i="54"/>
  <c r="O26" i="54" s="1"/>
  <c r="O27" i="54" s="1"/>
  <c r="P25" i="54"/>
  <c r="P26" i="54" s="1"/>
  <c r="P27" i="54" s="1"/>
  <c r="V12" i="54"/>
  <c r="F45" i="30"/>
  <c r="V10" i="54"/>
  <c r="R23" i="54"/>
  <c r="R17" i="54" s="1"/>
  <c r="O23" i="52"/>
  <c r="I5" i="54"/>
  <c r="H4" i="54"/>
  <c r="H25" i="54" s="1"/>
  <c r="H26" i="54" s="1"/>
  <c r="H27" i="54" s="1"/>
  <c r="G4" i="54"/>
  <c r="G25" i="54" s="1"/>
  <c r="G26" i="54" s="1"/>
  <c r="G27" i="54" s="1"/>
  <c r="I13" i="54"/>
  <c r="S17" i="54"/>
  <c r="S9" i="54"/>
  <c r="I9" i="54"/>
  <c r="V9" i="54" s="1"/>
  <c r="F4" i="54"/>
  <c r="F25" i="54" s="1"/>
  <c r="U17" i="54"/>
  <c r="E5" i="45"/>
  <c r="E26" i="45"/>
  <c r="E27" i="45" s="1"/>
  <c r="F45" i="29"/>
  <c r="F46" i="29" s="1"/>
  <c r="F22" i="53"/>
  <c r="L5" i="54"/>
  <c r="U5" i="54" s="1"/>
  <c r="C9" i="45"/>
  <c r="C45" i="29"/>
  <c r="C46" i="29" s="1"/>
  <c r="J8" i="54"/>
  <c r="M8" i="54" s="1"/>
  <c r="D17" i="44"/>
  <c r="C18" i="44"/>
  <c r="F45" i="27"/>
  <c r="F46" i="27" s="1"/>
  <c r="E54" i="27"/>
  <c r="E55" i="27" s="1"/>
  <c r="Q4" i="54"/>
  <c r="Q25" i="54" s="1"/>
  <c r="F18" i="44"/>
  <c r="E79" i="33"/>
  <c r="D54" i="33"/>
  <c r="D55" i="33" s="1"/>
  <c r="C79" i="33"/>
  <c r="G53" i="33" s="1"/>
  <c r="G14" i="52"/>
  <c r="T14" i="54"/>
  <c r="M14" i="54"/>
  <c r="H14" i="52"/>
  <c r="K15" i="54"/>
  <c r="H15" i="52" s="1"/>
  <c r="D43" i="34"/>
  <c r="D44" i="34" s="1"/>
  <c r="C32" i="53"/>
  <c r="C21" i="53"/>
  <c r="C34" i="53" s="1"/>
  <c r="C31" i="53"/>
  <c r="K13" i="54"/>
  <c r="E43" i="34"/>
  <c r="E44" i="34" s="1"/>
  <c r="L15" i="54"/>
  <c r="C61" i="34"/>
  <c r="D68" i="34"/>
  <c r="C65" i="34"/>
  <c r="J15" i="54"/>
  <c r="C43" i="34"/>
  <c r="F42" i="34"/>
  <c r="C30" i="53"/>
  <c r="C12" i="53"/>
  <c r="J14" i="52" l="1"/>
  <c r="O14" i="52" s="1"/>
  <c r="T15" i="54"/>
  <c r="D44" i="37"/>
  <c r="D45" i="37" s="1"/>
  <c r="F12" i="53"/>
  <c r="J21" i="52"/>
  <c r="O21" i="52" s="1"/>
  <c r="G17" i="52"/>
  <c r="F25" i="25"/>
  <c r="F26" i="25"/>
  <c r="F52" i="27"/>
  <c r="D53" i="27"/>
  <c r="M20" i="54"/>
  <c r="H20" i="52"/>
  <c r="K17" i="54"/>
  <c r="T17" i="54" s="1"/>
  <c r="T20" i="54"/>
  <c r="F7" i="45"/>
  <c r="U6" i="54"/>
  <c r="M6" i="54"/>
  <c r="V6" i="54" s="1"/>
  <c r="I6" i="52"/>
  <c r="I5" i="52" s="1"/>
  <c r="H16" i="52"/>
  <c r="J16" i="52" s="1"/>
  <c r="O16" i="52" s="1"/>
  <c r="T16" i="54"/>
  <c r="C26" i="25"/>
  <c r="C25" i="25"/>
  <c r="F10" i="45"/>
  <c r="F23" i="53"/>
  <c r="F24" i="53" s="1"/>
  <c r="F25" i="53" s="1"/>
  <c r="E44" i="37"/>
  <c r="E45" i="37" s="1"/>
  <c r="H6" i="52"/>
  <c r="H5" i="52" s="1"/>
  <c r="T6" i="54"/>
  <c r="K5" i="54"/>
  <c r="T5" i="54" s="1"/>
  <c r="J19" i="52"/>
  <c r="I17" i="52"/>
  <c r="F21" i="45"/>
  <c r="F18" i="45" s="1"/>
  <c r="D18" i="45"/>
  <c r="D26" i="45" s="1"/>
  <c r="J7" i="54"/>
  <c r="F29" i="28"/>
  <c r="C30" i="28"/>
  <c r="J12" i="52"/>
  <c r="G9" i="52"/>
  <c r="F25" i="20"/>
  <c r="F24" i="20"/>
  <c r="H24" i="20"/>
  <c r="H25" i="20" s="1"/>
  <c r="D35" i="37"/>
  <c r="F35" i="37" s="1"/>
  <c r="G6" i="52"/>
  <c r="S6" i="54"/>
  <c r="F26" i="54"/>
  <c r="F27" i="54" s="1"/>
  <c r="I4" i="54"/>
  <c r="I25" i="54" s="1"/>
  <c r="I26" i="54" s="1"/>
  <c r="I27" i="54" s="1"/>
  <c r="E28" i="45"/>
  <c r="G8" i="52"/>
  <c r="J5" i="54"/>
  <c r="S5" i="54" s="1"/>
  <c r="S8" i="54"/>
  <c r="V8" i="54"/>
  <c r="R8" i="54"/>
  <c r="C6" i="45"/>
  <c r="F9" i="45"/>
  <c r="F6" i="45" s="1"/>
  <c r="C19" i="53"/>
  <c r="C33" i="53" s="1"/>
  <c r="Q26" i="54"/>
  <c r="Q27" i="54" s="1"/>
  <c r="R14" i="54"/>
  <c r="R13" i="54" s="1"/>
  <c r="V14" i="54"/>
  <c r="H13" i="52"/>
  <c r="C68" i="34"/>
  <c r="G33" i="34" s="1"/>
  <c r="G15" i="52"/>
  <c r="S15" i="54"/>
  <c r="J13" i="54"/>
  <c r="K4" i="54"/>
  <c r="T13" i="54"/>
  <c r="M15" i="54"/>
  <c r="I15" i="52"/>
  <c r="I13" i="52" s="1"/>
  <c r="I4" i="52" s="1"/>
  <c r="U15" i="54"/>
  <c r="L13" i="54"/>
  <c r="E25" i="53"/>
  <c r="C44" i="34"/>
  <c r="F44" i="34" s="1"/>
  <c r="F43" i="34"/>
  <c r="D22" i="53"/>
  <c r="D23" i="53" s="1"/>
  <c r="D24" i="53" s="1"/>
  <c r="D25" i="53" s="1"/>
  <c r="C15" i="53"/>
  <c r="K25" i="54" l="1"/>
  <c r="K26" i="54" s="1"/>
  <c r="T26" i="54" s="1"/>
  <c r="T4" i="54"/>
  <c r="G7" i="52"/>
  <c r="J7" i="52" s="1"/>
  <c r="O7" i="52" s="1"/>
  <c r="M7" i="54"/>
  <c r="S7" i="54"/>
  <c r="O19" i="52"/>
  <c r="D54" i="27"/>
  <c r="D55" i="27"/>
  <c r="D27" i="45"/>
  <c r="D28" i="45"/>
  <c r="C14" i="44"/>
  <c r="F53" i="27"/>
  <c r="F54" i="27" s="1"/>
  <c r="F55" i="27" s="1"/>
  <c r="O12" i="52"/>
  <c r="J9" i="52"/>
  <c r="O9" i="52" s="1"/>
  <c r="I25" i="52"/>
  <c r="I26" i="52" s="1"/>
  <c r="I27" i="52" s="1"/>
  <c r="H4" i="52"/>
  <c r="J6" i="52"/>
  <c r="O6" i="52" s="1"/>
  <c r="F30" i="28"/>
  <c r="C31" i="28"/>
  <c r="F31" i="28" s="1"/>
  <c r="J20" i="52"/>
  <c r="O20" i="52" s="1"/>
  <c r="H17" i="52"/>
  <c r="V20" i="54"/>
  <c r="M17" i="54"/>
  <c r="V17" i="54" s="1"/>
  <c r="M5" i="54"/>
  <c r="J8" i="52"/>
  <c r="G5" i="52"/>
  <c r="F5" i="45"/>
  <c r="F26" i="45"/>
  <c r="C26" i="45"/>
  <c r="C5" i="45"/>
  <c r="T25" i="54"/>
  <c r="J4" i="54"/>
  <c r="J25" i="54" s="1"/>
  <c r="S13" i="54"/>
  <c r="S4" i="54" s="1"/>
  <c r="C29" i="53"/>
  <c r="C35" i="53" s="1"/>
  <c r="C36" i="53" s="1"/>
  <c r="C37" i="53" s="1"/>
  <c r="C22" i="53"/>
  <c r="C23" i="53" s="1"/>
  <c r="C24" i="53" s="1"/>
  <c r="C25" i="53" s="1"/>
  <c r="M13" i="54"/>
  <c r="V15" i="54"/>
  <c r="L4" i="54"/>
  <c r="L25" i="54" s="1"/>
  <c r="U13" i="54"/>
  <c r="U4" i="54" s="1"/>
  <c r="G13" i="52"/>
  <c r="G4" i="52" s="1"/>
  <c r="G25" i="52" s="1"/>
  <c r="G26" i="52" s="1"/>
  <c r="G27" i="52" s="1"/>
  <c r="J15" i="52"/>
  <c r="V5" i="54" l="1"/>
  <c r="R5" i="54"/>
  <c r="R4" i="54" s="1"/>
  <c r="R25" i="54" s="1"/>
  <c r="R26" i="54" s="1"/>
  <c r="R27" i="54" s="1"/>
  <c r="H25" i="52"/>
  <c r="H26" i="52" s="1"/>
  <c r="H27" i="52" s="1"/>
  <c r="R7" i="54"/>
  <c r="V7" i="54"/>
  <c r="J17" i="52"/>
  <c r="O17" i="52" s="1"/>
  <c r="C28" i="45"/>
  <c r="C27" i="45"/>
  <c r="F27" i="45"/>
  <c r="F28" i="45"/>
  <c r="O8" i="52"/>
  <c r="J5" i="52"/>
  <c r="O5" i="52" s="1"/>
  <c r="M4" i="54"/>
  <c r="M25" i="54" s="1"/>
  <c r="V13" i="54"/>
  <c r="V4" i="54" s="1"/>
  <c r="S25" i="54"/>
  <c r="J26" i="54"/>
  <c r="S26" i="54" s="1"/>
  <c r="O15" i="52"/>
  <c r="J13" i="52"/>
  <c r="U25" i="54"/>
  <c r="L26" i="54"/>
  <c r="K27" i="54"/>
  <c r="T27" i="54" s="1"/>
  <c r="J27" i="54" l="1"/>
  <c r="S27" i="54" s="1"/>
  <c r="J4" i="52"/>
  <c r="O13" i="52"/>
  <c r="M26" i="54"/>
  <c r="V26" i="54" s="1"/>
  <c r="V25" i="54"/>
  <c r="U26" i="54"/>
  <c r="L27" i="54"/>
  <c r="U27" i="54" s="1"/>
  <c r="M27" i="54" l="1"/>
  <c r="V27" i="54" s="1"/>
  <c r="O4" i="52"/>
  <c r="J25" i="52"/>
  <c r="J26" i="52" l="1"/>
  <c r="J27" i="52" s="1"/>
  <c r="O25" i="52"/>
  <c r="O26" i="52" s="1"/>
  <c r="O27" i="52" s="1"/>
  <c r="F48" i="57" l="1"/>
  <c r="F31" i="56"/>
  <c r="D31" i="56"/>
  <c r="E31" i="56"/>
</calcChain>
</file>

<file path=xl/sharedStrings.xml><?xml version="1.0" encoding="utf-8"?>
<sst xmlns="http://schemas.openxmlformats.org/spreadsheetml/2006/main" count="1857" uniqueCount="367">
  <si>
    <t>Description</t>
  </si>
  <si>
    <t>Total</t>
  </si>
  <si>
    <t>FAO</t>
  </si>
  <si>
    <t>UNDP</t>
  </si>
  <si>
    <t>UNEP</t>
  </si>
  <si>
    <t>1. Total Country Programme TA</t>
  </si>
  <si>
    <t>Africa</t>
  </si>
  <si>
    <t>Cote d'Ivoire</t>
  </si>
  <si>
    <t>Republic of Congo</t>
  </si>
  <si>
    <t>Zambia</t>
  </si>
  <si>
    <t>Asia</t>
  </si>
  <si>
    <t>Indonesia</t>
  </si>
  <si>
    <t>Myanmar</t>
  </si>
  <si>
    <t>Viet Nam</t>
  </si>
  <si>
    <t>LAC</t>
  </si>
  <si>
    <t>Colombia</t>
  </si>
  <si>
    <t>Mexico</t>
  </si>
  <si>
    <t>Peru</t>
  </si>
  <si>
    <t>2. Global Knowledge Management</t>
  </si>
  <si>
    <t>Landscapes Approach </t>
  </si>
  <si>
    <t>Private Sector Engagement </t>
  </si>
  <si>
    <t>Tenure &amp; IP Engagement</t>
  </si>
  <si>
    <t>MRV Platform </t>
  </si>
  <si>
    <t>REDD+ &amp; SDGs &amp; Paris Agreement </t>
  </si>
  <si>
    <t>National REDD+ Funding Mechanisms</t>
  </si>
  <si>
    <t>Cross-cutting &amp; Coordination</t>
  </si>
  <si>
    <t>Programme cost</t>
  </si>
  <si>
    <t>Indirect support costs</t>
  </si>
  <si>
    <t xml:space="preserve">Total </t>
  </si>
  <si>
    <t>UN-REDD PROGRAMME 2018 - 2020 WORK PLAN AND BUDGET - CONSOLIDATED IN USD</t>
  </si>
  <si>
    <t>Outcome 2: National contributions to the mitigation of climate change though REDD+ are measured, reported and verified with the necessary institutional arrangements in place</t>
  </si>
  <si>
    <t>Budget categories</t>
  </si>
  <si>
    <t>Staff and other personnel costs</t>
  </si>
  <si>
    <t>Supplies, Commodities, Materials</t>
  </si>
  <si>
    <t>Equipment, Vehicles and furniture including Depreciation</t>
  </si>
  <si>
    <t>Contractual Services</t>
  </si>
  <si>
    <t>Travel</t>
  </si>
  <si>
    <t>General Operating and Other Direct Costs</t>
  </si>
  <si>
    <t>Sub-total</t>
  </si>
  <si>
    <t>Outcome 3: Drivers of deforestation and forest degradation are addressed through the implementation of policies and measures (results-based actions), with social and environmental safeguards addressed and respected</t>
  </si>
  <si>
    <t>Total Programme cost</t>
  </si>
  <si>
    <t>Indirect support cost 7%</t>
  </si>
  <si>
    <t>Grand Total</t>
  </si>
  <si>
    <t>CATEGORY</t>
  </si>
  <si>
    <t>ITEM DESCRIPTION</t>
  </si>
  <si>
    <t>UNIT COST</t>
  </si>
  <si>
    <t>NUMBER OF UNITS</t>
  </si>
  <si>
    <t>AMOUNT**</t>
  </si>
  <si>
    <t>- </t>
  </si>
  <si>
    <t>Programme Costs</t>
  </si>
  <si>
    <t>Indirect Support costs***</t>
  </si>
  <si>
    <t>GRAND TOTAL**</t>
  </si>
  <si>
    <t>UN-REDD PROGRAMME 2018 - 2020 WORK PLAN AND BUDGET -USD (GLOBAL consolidated)</t>
  </si>
  <si>
    <t>Transfers and Grants to Counterparts</t>
  </si>
  <si>
    <t>UN-REDD PROGRAMME 2018 WORK PLAN AND BUDGET - CONSOLIDATED AT OUTCOME LEVEL (USD)</t>
  </si>
  <si>
    <t>UN-REDD Programme 2018 Budget by country/Region and Agency (USD)</t>
  </si>
  <si>
    <t xml:space="preserve">Summary </t>
  </si>
  <si>
    <t>indirect support</t>
  </si>
  <si>
    <t>Outcome 3</t>
  </si>
  <si>
    <t>Contractual services</t>
  </si>
  <si>
    <t>TOTAL 2019</t>
  </si>
  <si>
    <t>TOTAL</t>
  </si>
  <si>
    <t>u</t>
  </si>
  <si>
    <t>PROGRAMA ONU-REDD 2018 - 2020 PLAN DE TRABAJO Y PRESUPUESTO - CONSOLIDADO EN DÓLARES ESTADOUNIDENSES</t>
  </si>
  <si>
    <t>Categorías de presupuesto</t>
  </si>
  <si>
    <t>PNUD</t>
  </si>
  <si>
    <t>PNUMA</t>
  </si>
  <si>
    <t>Puestos de plantilla y otros costes de personal</t>
  </si>
  <si>
    <t>Suministros, bienes y materiales</t>
  </si>
  <si>
    <t xml:space="preserve">Equipos, vehículos y mobiliario, incluyendo su depreciación </t>
  </si>
  <si>
    <t>Servicios contractuales</t>
  </si>
  <si>
    <t>Viajes</t>
  </si>
  <si>
    <t>Transferencias y subvenciones a contrapartes</t>
  </si>
  <si>
    <t>Gastos generales de funcionamiento y otros costes directos</t>
  </si>
  <si>
    <t xml:space="preserve">Resultado 3: se abordan los factores desencadenantes de la deforestación y de la degradación forestal a través de la implementación de políticas y medidas (acciones basadas en resultados), teniendo en cuenta y respetando las salvaguardias sociales y ambientales </t>
  </si>
  <si>
    <t>Costes totales de programa</t>
  </si>
  <si>
    <t>Costes de apoyo indirecto 7%</t>
  </si>
  <si>
    <t>Importe total</t>
  </si>
  <si>
    <t>CATEGORÍA</t>
  </si>
  <si>
    <t>Costes de programa</t>
  </si>
  <si>
    <t>Costes indirectos de apoyo***</t>
  </si>
  <si>
    <t>IMPORTE TOTAL**</t>
  </si>
  <si>
    <t>Descripción</t>
  </si>
  <si>
    <t>2019 (según las aportaciones de las agencias en junio-julio-agosto 2018)</t>
  </si>
  <si>
    <t>África</t>
  </si>
  <si>
    <t>México</t>
  </si>
  <si>
    <t>Perú</t>
  </si>
  <si>
    <t>Costa de Marfil</t>
  </si>
  <si>
    <t>República del Congo</t>
  </si>
  <si>
    <t>2. Gestión global del conocimiento</t>
  </si>
  <si>
    <t>Enfoque territorial</t>
  </si>
  <si>
    <t>Involucración del sector privado</t>
  </si>
  <si>
    <t>Plataforma MRV</t>
  </si>
  <si>
    <t>Mecanismos nacionales de financiación de REDD+</t>
  </si>
  <si>
    <t>Coordinación y temas transversales</t>
  </si>
  <si>
    <t>Costes indirectos de apoyo</t>
  </si>
  <si>
    <t>PRESUPUESTO 2019  (borrador final 14 agosto 2018)</t>
  </si>
  <si>
    <t>Costes de apoyo indirectos</t>
  </si>
  <si>
    <t>REDD+, ODS y Acuerdo de París </t>
  </si>
  <si>
    <t>2019 según aprobado en EB-1</t>
  </si>
  <si>
    <t>Ajustes por agencia</t>
  </si>
  <si>
    <t xml:space="preserve">Resultado 3: se implementan y salvaguardan aportaciones de REDD+ a la mitigación del cambio climático con políticas y medidas que constituyen acciones basadas en resultados (RBA, siglas en inglés), incluido el desarrollo de acuerdos internacionales adecuados y eficaces </t>
  </si>
  <si>
    <t>Resultados esperados</t>
  </si>
  <si>
    <t>Actividades indicativas</t>
  </si>
  <si>
    <t>Agencia ONU responsable</t>
  </si>
  <si>
    <t>Asignación de recursos</t>
  </si>
  <si>
    <t>Categoría presupuestaria</t>
  </si>
  <si>
    <t>Cantidad</t>
  </si>
  <si>
    <t>Resumen</t>
  </si>
  <si>
    <t>Apoyo indirecto</t>
  </si>
  <si>
    <t>Categorías presupuestarias</t>
  </si>
  <si>
    <t xml:space="preserve">Costes indirectos de apoyo 7% </t>
  </si>
  <si>
    <t xml:space="preserve">Según presupuestado en plan de trabajo y presupuesto 2018-2020 </t>
  </si>
  <si>
    <t xml:space="preserve">3.6 Colombia consolida e implementa sistemas nacionales de seguimiento forestal según lo requerido en las distintas fases de la REDD+, presentando niveles de referencia conformes a los requisitos internacionales de la CMNUCC, alineados a las NS/AP para REDD+ y para apoyar la ejecución de políticas y medidas. </t>
  </si>
  <si>
    <t xml:space="preserve">3.8 Se definen e integran transversalmente medidas de gobernanza forestal para resultados de REDD+ </t>
  </si>
  <si>
    <t xml:space="preserve">3.9 Las políticas y medidas de REDD+ tienen medidas de salvaguardas asociadas y son reportadas ante la CMNUCC </t>
  </si>
  <si>
    <r>
      <t xml:space="preserve">3.10 Análisis de la rentabilidad de las </t>
    </r>
    <r>
      <rPr>
        <sz val="9"/>
        <color theme="7"/>
        <rFont val="Calibri"/>
        <family val="2"/>
        <scheme val="minor"/>
      </rPr>
      <t>PAM</t>
    </r>
    <r>
      <rPr>
        <sz val="9"/>
        <color theme="1"/>
        <rFont val="Calibri"/>
        <family val="2"/>
        <scheme val="minor"/>
      </rPr>
      <t xml:space="preserve"> de REDD+ prioritarias. </t>
    </r>
  </si>
  <si>
    <t>Identificación de alternativas para la interacción entre el sistema de trazabilidad y el Salvoconducto Único Nacional-SUN (dentro de VITAL)</t>
  </si>
  <si>
    <t>Promoción de la consistencia y compatibilidad de los esfuerzos regionales para recoger información forestal dentro del NFI, incluyendo el desarrollo de una guía de procedimientos.</t>
  </si>
  <si>
    <t>Preparación de recomendaciones y consideraciones para la revisión de las NDC, tomando en cuenta el apoyo existente (Fondo de apoyo NCD, Alianza NCD y CBIT)</t>
  </si>
  <si>
    <t>Aportación de garantía de calidad del informe de los resultados de REDD del bioma amazónico para presentar ante la CMNUCC</t>
  </si>
  <si>
    <t xml:space="preserve">Refuerzo de la comunicación sobre los progresos realizados en la implementación del EIDCGB en Colombia a nivel internacional </t>
  </si>
  <si>
    <t>Facilitar la revisión de los mecanismos de gobierno para la implementación de las REDD+</t>
  </si>
  <si>
    <t xml:space="preserve">Facilitar, sistematizar y difundir eventos participativos (diálogos, Mesa REDD+) en el marco de la implementación de la JDI en Colombia </t>
  </si>
  <si>
    <t>Revisión y recomendaciones técnicas para plan de implementación de los pilotos de comunidades forestales (departamento por confirmar) y su vínculo con el  EICDGB</t>
  </si>
  <si>
    <t xml:space="preserve">Apoyo técnico para la publicación de un informe de políticas y una hoja informativa con los resultados del análisis de los múltiples beneficios de las acciones de REDD+, destacando los principales resultados, la aplicación del análisis y las lecciones aprendidas del proceso (EICDGB) </t>
  </si>
  <si>
    <t>Apoyo técnico para la revisión y mejora continua del SIS, y desarrollo de materiales centrados en el refuerzo de capacidades para la puesta en marcha del SIS (continuación de la actividad de 2018)</t>
  </si>
  <si>
    <t xml:space="preserve">Revisión y/o apoyo técnico para la preparación del resumen resultante de la información sobre las salvaguardas (según proceda) </t>
  </si>
  <si>
    <t>Documento guía para la articulación nacional y subnacional de los instrumentos de salvaguarda aplicados en  implementación  de programas de bosques y clima    (PNUD)</t>
  </si>
  <si>
    <t>Asistencia técnica para el análisis de prioridades de evaluación financiera y de impacto REDD + PAMs</t>
  </si>
  <si>
    <t xml:space="preserve">Apoyo técnico para la priorización y estructuración de proyectos de inversión en el marco de la Cartera Pacífica u otras zonas priorizadas </t>
  </si>
  <si>
    <t>Presupuesto nacional de Colombia por categoría GNUD y Agencia ONU (en dólares estadounidenses)</t>
  </si>
  <si>
    <t>Presupuesto nacional de Costa de Marfil por categoría GNUD y Agencia ONU (en dólares estadounidenses)</t>
  </si>
  <si>
    <t>2.1 Un NFMS operativo y consolidado, incluyendo un Inventario forestal nacional completo, un sistema satelital de monitoreo terrestre y un sistema de inventario de GEI</t>
  </si>
  <si>
    <t xml:space="preserve">Apoyo al refuerzo de la metodología armonizada para el seguimiento forestal (teniendo en cuenta todos sus niveles)   </t>
  </si>
  <si>
    <t>Apoyo a la estimación de factores de emisión derivados del fuego y su inclusión en el FREL</t>
  </si>
  <si>
    <t xml:space="preserve">3.1 Diseño, evaluación y adopción de políticas y medidas de REDD+ en todos los sectores, incluyendo su integración en las contribuciones nacionales a la mitigación del clima (o NDC)
</t>
  </si>
  <si>
    <t>3.5 Modelos productivos y de negocio para una agricultura sin deforestación</t>
  </si>
  <si>
    <t>Apoyo al diseño de financiación REDD+</t>
  </si>
  <si>
    <t xml:space="preserve">Apoyo a la participación de la sociedad civil en el seguimiento de los proyectos y procesos de REDD+, incluida la implementación de salvaguardias 
</t>
  </si>
  <si>
    <t xml:space="preserve">Apoyo de la sociedad civil en el desarrollo y financiación de proyectos/actividades de REDD+ </t>
  </si>
  <si>
    <t xml:space="preserve">Asistencia técnica continuada sobre salvaguardias y recomendaciones para hacer operativo el Sistema de información sobre salvaguardias (SIS) </t>
  </si>
  <si>
    <t>Presupuesto nacional de Indonesia por categoría GNUD y Agencia ONU (en dólares estadounidenses)</t>
  </si>
  <si>
    <t xml:space="preserve">Resultado 3: se implementan y salvaguardan aportaciones de REDD+ a la mitigación del cambio climático con políticas y medidas que constituyen acciones basadas en resultados (RBA), incluido el desarrollo de acuerdos internacionales adecuados y eficaces </t>
  </si>
  <si>
    <t xml:space="preserve">2.2 Sistemas nacionales de seguimiento forestal mejorados y niveles de referencia presentados conforme a los requisitos de la CMNUCC.
</t>
  </si>
  <si>
    <t>Apoyo al desarrollo de directrices técnicas para la restauración de turbas e intercambio de las mismas con otros países con turberas.</t>
  </si>
  <si>
    <t xml:space="preserve">3.11 Diseño técnico de políticas de gestión de fuego forestal y en turberas efectivas y viables </t>
  </si>
  <si>
    <t>Un taller entre las distintas agencias liderado por el Gobierno para coordinar los roles y contribuciones de las distinas agencias nacionales en el NFMS.</t>
  </si>
  <si>
    <t xml:space="preserve">Asesoría al Gobierno y sus socios sobre planes de inversión para el instrumento de financiación nacional de REDD+.
</t>
  </si>
  <si>
    <t xml:space="preserve"> Revisión de los programas de REDD+ y propuestas de financiación al Fondo nacional para el medio ambiente (BLU).</t>
  </si>
  <si>
    <t>Asesoría para el diseño del instrumento de financiación de REDD+.</t>
  </si>
  <si>
    <t>Presupuesto nacional de México por categoría GNUD y Agencia ONU (en dólares estadounidenses)</t>
  </si>
  <si>
    <t xml:space="preserve">3.16 Se identifican y evalúan opciones para la financiación del sector privado e integración de REDD en los mercados de carbono en el país 
</t>
  </si>
  <si>
    <t>Mapeo de la arquitectura de financiación del clima en México</t>
  </si>
  <si>
    <t xml:space="preserve">Intercambios sur-sur en la implementación de REDD +, la facilitación de pagos basados en resultados y la aplicación del Plan de distribución de beneficios </t>
  </si>
  <si>
    <t>Apoyo técnico para identificar fuentes viables de financiación a largo plazo que deberían ser incluidas en los planes de inversión.</t>
  </si>
  <si>
    <t>Revisión y apoyo al desarrollo de "lenguaje ciudadano" para los informes del SIS</t>
  </si>
  <si>
    <t xml:space="preserve">Revisión y provisión de feedback a la propuesta del componente de salvaguardias para una financiación basada en resultados </t>
  </si>
  <si>
    <t>Apoyo en el diseño de indicador para el SIS y generación de una guía para la preparación de resúmenes de información</t>
  </si>
  <si>
    <t>Apoyo técnico para el análisis de la puesta en marcha de una herramienta de débito (bonus forestal /bonos verdes)</t>
  </si>
  <si>
    <t xml:space="preserve">Diseño de mecanismos de inversión concurrente generales </t>
  </si>
  <si>
    <t>Análisis y elaboración de propuestas para avanzar en la financiación privada (mercado) de modelos de REDD+.</t>
  </si>
  <si>
    <t xml:space="preserve">Apoyo técnico jurídico a CONAFOR para continuar con el análisis y definición de propiedad de la reducción de emisiones </t>
  </si>
  <si>
    <t xml:space="preserve">Aportaciones al debate técnico sobre nuevas metodologías para actualizar los  NREF/REL con el apoyo de especialistas en las distintas fases de revisión del nivel de referencia  </t>
  </si>
  <si>
    <t xml:space="preserve">Elaboración de una propuesta metodológica para el análisis actualizado de los motores de deforestación y el  impacto de las políticas públicas en los avances de actividades de REDD+, identificando recomendaciones políticas  </t>
  </si>
  <si>
    <t>Seguimiento a la integración de CATIE, CCAD-GIZ y WRI en CEVMF.</t>
  </si>
  <si>
    <t xml:space="preserve">Apoyo al Centro  de Excelencia Virtual en Monitoreo Forestal para mejorar el repositorio, la sistematización y redes de SNMF para interacciones rentables entre países en el desarrollo de sistemas de MRV. </t>
  </si>
  <si>
    <t>Presupuesto nacional de Myanmar por categoría GNUD y Agencia ONU (en dólares estadounidenses)</t>
  </si>
  <si>
    <t xml:space="preserve">2.3. El NFMS es capaz de medir la degradación forestal y la restauración </t>
  </si>
  <si>
    <t>Borrador de FRL y desarrollo de una metodología para medir los cambios en los bosques que permanecen como tales</t>
  </si>
  <si>
    <t>3.20 Sistema de información sobre salvaguardias de REDD+ operativo</t>
  </si>
  <si>
    <t>Incorporación de la revisión de los entes nacionales en el proceso de finalización de la Estrategia de REDD+ .</t>
  </si>
  <si>
    <t xml:space="preserve">Seguimiento de las PAM piloto relacionadas con la degradación </t>
  </si>
  <si>
    <t xml:space="preserve">Desarrollo de orientaciones para protocolos de seguimiento de acciones de REDD+ en los bosques que permanecen como tales </t>
  </si>
  <si>
    <t>Preparación de un plan de acción (incluido plan de consultas) para el desarrollo del primer resumen de información sobre salvaguardias.</t>
  </si>
  <si>
    <t>Desarrollo del primer resumen de información sobre salvaguardias</t>
  </si>
  <si>
    <t>Presupuesto nacional de Perú por categoría GNUD y Agencia ONU (en dólares estadounidenses)</t>
  </si>
  <si>
    <t>Proveer asistencia técnica para el desarrollo de protocolos para facilitar la implementación del SNIFFS y sus módulos.</t>
  </si>
  <si>
    <t>Prestar asistencia técnica para extender el seguimiento forestal a actividades y biomas adicionales.</t>
  </si>
  <si>
    <t>Facilitar insumos técnicos para la definición de las medidas de NDC del LULUCF de Perú y los intervínculos con el FREL</t>
  </si>
  <si>
    <t xml:space="preserve">Apoyar la identificación de opciones para abordar el riesgo de desplazamiento y reversión de emisiones </t>
  </si>
  <si>
    <t xml:space="preserve">Proveer aportaciones técnicas para apoyar los debates sobre desarrollo de políticas forestales y de cambio climático </t>
  </si>
  <si>
    <t xml:space="preserve">Desarrollar un análisis comparativo de los casos de “Mecanismo de reclamaciones y compensaciones” (GRM) de una selección de países en la región </t>
  </si>
  <si>
    <t>Subtotal</t>
  </si>
  <si>
    <t>Tenencia e involucración de pueblos indígenas</t>
  </si>
  <si>
    <t>REDD+, ODS y Acuerdo de París</t>
  </si>
  <si>
    <t>Consolidación del seguimiento de actividades de restauración como parte de los NFMS prestando apoyo a la puesta en marcha de la metodología para el monitoreo de la restauración a nivel nacional (a través, por ejemplo, de asistencia en la preparación de manuales, guías y la definición de modificaciones al SNIF)</t>
  </si>
  <si>
    <t xml:space="preserve">3.7 Mecanismos de participación funcionales y efectivos para debatir las distintas opciones políticas para abordar asuntos forestales y de REDD+, que incluyan a las distintas partes interesadas (p. ej., pueblos indígenas, población afrocolombiana, comunidades forestales)
</t>
  </si>
  <si>
    <t>Apoyo a la articulación de la Iniciativa de los Gobernadores del Clima (GCFTF) con el EICDGB y el DCI</t>
  </si>
  <si>
    <t xml:space="preserve">Intercambio de experiencias y lecciones aprendidas relacionadas con el diseño de  modelos de gobierno de la comunidad forestal, particularmente en el contexto de postconflicto entre actores clave en Colombia. </t>
  </si>
  <si>
    <t>Facilitar recomendaciones políticas para la ampliación de acciones de apoyo relacionadas con la comunidad forestal en línea con el EICDGB (incorporando las primeras lecciones aprendidas de los pilotos que será iniciados en 2018) y creando sinergias con las carteras de apoyo al postconflicto de las agencias. (FAO en coordinación con PNUD)</t>
  </si>
  <si>
    <t>Facilitar comentarios y aportaciones técnicas para la definición de las medidas de las NDC del sector LULUCF de Perú y para la contribución a la toma de decisiones en NDC - GTM</t>
  </si>
  <si>
    <t>Producir un análisis comparativo de los mecanismos financieros basado en las entidades y procedimientos nacionales, en los países que reciben pagos basados en resultados (RBP)</t>
  </si>
  <si>
    <t xml:space="preserve">Participar y aportar comentarios en las sesiones de trabajo y encuentros técnicos sobre un mecanismo nacional de financiación con las partes interesadas pertinentes </t>
  </si>
  <si>
    <t>3.23 Capacidades técnicas para el desarrollo de modelos de deforestación  geográficamente explícitos.</t>
  </si>
  <si>
    <t xml:space="preserve">Prestar apoyo técnico para la revisión y actualización de la línea de base de información espacial disponible en los beneficios sociales y ambientales, así como sobre los riesgos y las categorías de uso de la tierra y manejo de la misma </t>
  </si>
  <si>
    <t>Organizar un webinar sobre el uso de información y herramientas espaciales para la planificación de REDD+ a fin de priorizar acciones y áreas para la implementación de REDD+.</t>
  </si>
  <si>
    <t xml:space="preserve">3.25 Se refuerza el diseño e implementación del sistema de información sobre salvaguardias </t>
  </si>
  <si>
    <t xml:space="preserve">Prestar apoyo técnico para el desarrollo de directrices para desarrollar y actualizar el resumen de información sobre salvaguardias. </t>
  </si>
  <si>
    <t xml:space="preserve"> Contribuir a la implicación del sector privado examinando las opciones de financiación para los modelos de negocio agrícola.</t>
  </si>
  <si>
    <t xml:space="preserve">Prestar apoyo técnico, incluido a través de la participación en el "Grupo de trabajo de expertos sobre salvaguardias de REDD+", para la entrega de la hoja de ruta de salvaguardias de Perú. </t>
  </si>
  <si>
    <t xml:space="preserve">2.4 El Sistema nacional de seguimiento forestal es mejorado y se presentan los niveles de referencia conforme a los requisitos de la CMNUCC. </t>
  </si>
  <si>
    <t>3.26 Se diseñan y adoptan políticas y medidas de REDD+, con financiación movilizada para su implementación.</t>
  </si>
  <si>
    <t>Producción de una evaluación de los cambios en la cubierta forestal del periodo 2016-2018, para deforestación.</t>
  </si>
  <si>
    <t xml:space="preserve">Integración de la metodología de degradación. </t>
  </si>
  <si>
    <t>Finalización de la metodología, evaluación y mapeo del refuerzo de las reservas de carbono para el periodo histórico de FRL.</t>
  </si>
  <si>
    <t>Plan de trabajo para la preparación del nuevo FRL (que se presentará en 2020)</t>
  </si>
  <si>
    <t>Formalización de acuerdos institucionales para la notificación de GEI de actividades de REDD+.</t>
  </si>
  <si>
    <t>Se facilitan aportaciones técnicas para desarrollar PAM de REDD+ por parte de expertos en agroforestería y agricultura.</t>
  </si>
  <si>
    <t>Presupuesto nacional de Viet Nam por categoría GNUD y Agencia ONU (en dólares estadounidenses)</t>
  </si>
  <si>
    <t>Presupuesto nacional de República del Congo por categoría GNUD y Agencia ONU (en dólares estadounidenses)</t>
  </si>
  <si>
    <t xml:space="preserve">2.6 Decisión MARD sobre el NFMS incluyendo el MRV y los procedimientos para el seguimiento. </t>
  </si>
  <si>
    <t xml:space="preserve">3.27 Distintos actores gubernamentales, económicos y provinciales se involucran en las políticas y medidas de REDD+ en Viet Nam. </t>
  </si>
  <si>
    <t>Misiones técnicas y orientación para actualizar los FRL.</t>
  </si>
  <si>
    <t xml:space="preserve">Apoyo técnico para desarrollar la metodología para el diseño de MRV (datos de actividad y factores de emisión). </t>
  </si>
  <si>
    <t xml:space="preserve">Facilitar asesoría política para apoyar la reforma prevista de la planificación de la gestión del uso de la tierra que integra la silvicultura. 
</t>
  </si>
  <si>
    <t xml:space="preserve">Asesorar las consultas pertinentes entre múltiples partes interesadas sobre orientaciones para una planificación integrada del uso de la tierra con un componente forestal. </t>
  </si>
  <si>
    <t xml:space="preserve">2.5 El Sistema nacional de seguimiento forestal es mejorado y se presentan los niveles de referencia conforme a los requisitos de la CMNUCC. </t>
  </si>
  <si>
    <t xml:space="preserve">3.30 Capacidad para vincular/notificar las actividades de REDD+ (PAM) con el sistema nacional de MRV y de GHGi. </t>
  </si>
  <si>
    <t xml:space="preserve">Apoyo técnico para facilitar mejoras paso a paso en los FREL. Se planifican talleres de desarrollo para coincidir con las actividades que se están llevando a cabo en la Provincia oriental como parte del Programa de territorios forestales integrados apoyado por BioCF. </t>
  </si>
  <si>
    <t xml:space="preserve">Revisión de las propuestas de financiación para la implementación del plan de inversión de REDD+. </t>
  </si>
  <si>
    <t>Apoyo a las consultas gubernamentales para preparar propuestas de financiación para el Plan de inversión de REDD+ con especial referencia a las actividades  de gestión forestal comunitaria (CBFM).</t>
  </si>
  <si>
    <t xml:space="preserve">Apoyo al desarrollo de la propuesta de plan de inversión de REDD+. </t>
  </si>
  <si>
    <t xml:space="preserve">Apoyo técnico para identificar y preparar actividades de seguimiento diseñadas para destacar los impactos de las actividades de reducción de las emisiones  (PAMS) y para vincularlas con el MRV y el GHGi. Planificación de talleres de desarrollo de capacidades. </t>
  </si>
  <si>
    <t xml:space="preserve">Apoyo técnico para preparar a Zambia para la preparación de un anexo técnico como parte de la presentación de su BUR en 2020 </t>
  </si>
  <si>
    <t>Presupuesto nacional de Zambia por categoría GNUD y Agencia ONU (en dólares estadounidenses)</t>
  </si>
  <si>
    <t>Herramientas adaptadas al contexto de REDD+ que facilitan sinergias más fuertes y ayudan a resolver conflictos entre, por ejemplo, el uso agrícola y el forestal de la tierra.</t>
  </si>
  <si>
    <t xml:space="preserve">Materiales de gestión del conocimiento, presentaciones informativas sobre los factores desencadenantes, motores y barreras a la transición a las soluciones integradas y holísticas necesarias en el territorio. </t>
  </si>
  <si>
    <t xml:space="preserve">Desarrollar y facilitar materiales de formación técnica. </t>
  </si>
  <si>
    <t xml:space="preserve">Presupuesto de financiación y sector privado por  categoría GNUD y Agencia ONU (en dólares estadounidenses). </t>
  </si>
  <si>
    <t xml:space="preserve">Proveer a los países socios de ONU-REDD análisis sobre la justificación económica que justifique una mayor inclusión de la acción del sector privado en el diseño de PAM de REDD+. </t>
  </si>
  <si>
    <t xml:space="preserve">Consultas con las instituciones financieras para debatir opciones dirigidas a hacer préstamos o invertir para  desvincular la deforestación de las actividades productivas.   </t>
  </si>
  <si>
    <t>Desarrollar marcos ambientales y sociales para fondos de financiación privada que faciliten la  REDD+.</t>
  </si>
  <si>
    <t xml:space="preserve">Nota de orientación sobre políticas de seguridad de la tenencia (incluida para los pueblos indígenas) para acciones/estrategias de REDD+ mejoradas y sostenibles. </t>
  </si>
  <si>
    <t xml:space="preserve">Apoyo a sesiones de diálogo sobre REDD+, pueblos indígenas y derechos de tenencia en distintas plataformas de debate de políticas internacionales.  
</t>
  </si>
  <si>
    <t xml:space="preserve">Productos de conocimiento y comunicación. </t>
  </si>
  <si>
    <t xml:space="preserve">Apoyo a la inclusión e involucración de los pueblos indígenas en los nuevos y complejos esfuerzos relacionados con el clima y los bosques, utilizando un enfoque de género y multicultural (incluyendo la plataforma de pueblos indígenas de la CMNUCC). </t>
  </si>
  <si>
    <t>Elaboración - revisión de modelos de financiación para las cadenas de suministro libres de deforestación</t>
  </si>
  <si>
    <t>Seguimiento de actividades para abordar los resultados de la evaluación de los FREL de la CMNUCC</t>
  </si>
  <si>
    <t>2.7 Integración de las herramientas existentes de NFMS/MRV en Open
Foris Online, que es probado, comunicado y difundido.</t>
  </si>
  <si>
    <t>Diseño e implementación de Open Foris Online</t>
  </si>
  <si>
    <t xml:space="preserve">2.11 Contribuir a los resultados en la sección de alineación de políticas internacionales. </t>
  </si>
  <si>
    <t xml:space="preserve">País piloto para reforzar los vínculos entre REDD+, NDC y  ODS. 
</t>
  </si>
  <si>
    <t xml:space="preserve"> Aportaciones y asesoría técnica facilitadas para cuatro países. </t>
  </si>
  <si>
    <t>1 Nota orientativa informativa sobre REDD+ y ODS.</t>
  </si>
  <si>
    <t>Refuerzo de los compromisos sobre bosques y tierra en las NDC. (*)</t>
  </si>
  <si>
    <t xml:space="preserve">Conocimiento y asistencia a los países para lograr acceso directo al GCF, asegurando acreditación adecuada para los pagos por resultados del GCF. </t>
  </si>
  <si>
    <t>Propuestas de programas piloto para los pagos basados en resultados de REDD+ (*).</t>
  </si>
  <si>
    <t>Producir regularmente contenidos para el blog de ONU-REDD.</t>
  </si>
  <si>
    <t>Mejorar la usabilidad del espacio de trabajo.</t>
  </si>
  <si>
    <t xml:space="preserve">Desarrollar intercambios de conocimiento sur-sur. </t>
  </si>
  <si>
    <t xml:space="preserve">Intercambiar conocimiento y lecciones mediante las redes sociales. </t>
  </si>
  <si>
    <t xml:space="preserve">Organizar viajes de prensa, formación a medios y mejorar las relaciones con los medios. </t>
  </si>
  <si>
    <t>Resultado 2: las contribuciones nacionales a la mitigación del cambio climático a través de REDD+ son medidas, notificadas y verificadas con los acuerdos institucionales necesarios existentes</t>
  </si>
  <si>
    <t>Resultado 2: las contribuciones nacionales a la mitigación del cambio climático a través de REDD+ son medidas, notificadas y verificadas, y existen los acuerdos institucionales necesarios</t>
  </si>
  <si>
    <t>Resultado 2: las contribuciones nacionales a la mitigación del cambio climático a través de REDD+ son medidas, notificadas y verificadas, y existen los acuerdos institucionales necesarios.</t>
  </si>
  <si>
    <t>Resultado total</t>
  </si>
  <si>
    <t xml:space="preserve">Apoyo a la involucración del sector privado en REDD+
</t>
  </si>
  <si>
    <t>Apoyo a la integración de REDD+ en todos los sectores</t>
  </si>
  <si>
    <t>3.2 Se redactan y están listos para aprobación nuevos textos legales a fin de mejorar la gobernanza forestal y facilitar un marco propicio para la implementación de REDD+ en los distintos sectores</t>
  </si>
  <si>
    <t>Apoyo a la identificación y desarrollo de los textos de aplicación necesarios para la implementación del Código Forestal</t>
  </si>
  <si>
    <t xml:space="preserve">3.3  Mecanismos funcionales de partes interesadas para apuntalar y hacer seguimiento de las acciones y la financiación de REDD+ </t>
  </si>
  <si>
    <t>3.4 Se diseñan e implementan PAM de REDD+ para abordar los factores desencadenantes de la deforestación y la degradación forestal, a la vez que se rinden cuentas plenamente de las salvaguardias de la CMNUCC</t>
  </si>
  <si>
    <t>Creación de consenso entre los ministerios clave (Medio Ambiente, Agua y Bosques, Agricultura y Economía) sobre las inversiones públicas prioritarias para apoyar la adopción de una agroforestería sostenible por parte del sector privado (cacao) </t>
  </si>
  <si>
    <t>Costes indirectos de apoyo 7%</t>
  </si>
  <si>
    <t>Cooperación sur-sur entre Costa de Marfil y Ghana para una transición acorde con la REDD+ del sector del cacao</t>
  </si>
  <si>
    <t>Resultado 3</t>
  </si>
  <si>
    <t>Apoyo al Gobierno para mejorar el mapeo de la cubierta terrestre, datos de actividades en series cronológicas y otras actividades de REDD+ (p. ej., restauración forestal o forestación).</t>
  </si>
  <si>
    <t xml:space="preserve">Apoyo al Gobierno en la mejora de los Factores de emisión para reducir la incertidumbre (p. ej., turba e incendios) y completar las lagunas  (p. ej., manglares) en un taller. </t>
  </si>
  <si>
    <t>Mejorar el manejo del fuego en las provincias vulnerables a través de un proceso consultivo con un enfoque de grupos temáticos para una gestión del fuego integrada entre los ministerios y los entes gubernamentales y partes interesadas a nivel subnacional pertinentes</t>
  </si>
  <si>
    <t xml:space="preserve">Facilitar apoyo técnico para el desarrollo de directrices de manejo del uso de la tierra en turberas basadas en la regulación 57 del Gobierno. </t>
  </si>
  <si>
    <t>Mejorar las capacidades de mapeo del fuego con más resolución y una información más rápida a responsables políticos y gestores de terreno mediante la adaptación de los algoritmos existentes de fuego y áreas quemadas.</t>
  </si>
  <si>
    <t>3.12 Coordinación y capacidades institucionales para el NFMS mejoradas</t>
  </si>
  <si>
    <t xml:space="preserve">3.13 Opciones y elementos técnicos e institucionales para apuntalar la financiación de REDD+ 
</t>
  </si>
  <si>
    <t>Según presupuestado en plan de trabajo y presupuesto 2018-2020</t>
  </si>
  <si>
    <t xml:space="preserve"> Apoyo técnico a la recogida de experiencias aprendidas en la implementación de modelos de financiación en el sector y en los proyectos completados (p. ej., PBCC), así como recomendaciones para el futuro.</t>
  </si>
  <si>
    <t>Documento que compile las bases para la estrategia de financiación de ENAREDD+ en México</t>
  </si>
  <si>
    <t xml:space="preserve">3.15 El sistema nacional de salvaguardias es operativo y se envían a la CMNUCC resúmenes actualizados de información sobre salvaguardias  
</t>
  </si>
  <si>
    <t>3.17 Se amplía la cooperación sur-sur sobre NFMS y requisitos de MRV, y se aumenta la capacidad de los NFMS y SNMRV para responder a los múltiples requisitos de reporte y alineación a la CMNUCC  </t>
  </si>
  <si>
    <t xml:space="preserve">Incorporación de SEPAL como parte de las herramientas disponibles para el Sistema de seguimiento forestal de México, lo que permitirá mejorar el monitoreo </t>
  </si>
  <si>
    <t xml:space="preserve">Implementación del plan de trabajo de cooperación sur-sur con los socios regionales para abordar las brechas específicas de MRV bajo la Estrategia mesoamericana de sostenibilidad ambiental. </t>
  </si>
  <si>
    <t xml:space="preserve">3.14 Opciones de financiación para alcanzar los objetivos NDC y las metas ENAREDD  (incluidas fuentes privadas y públicas, y asegurando la alineación de políticas) 
</t>
  </si>
  <si>
    <t xml:space="preserve">3.18 Un conjunto de provisiones técnicas, institucionales, financieras y legales para la implementación de REDD+ en los niveles nacionales y subnacionales </t>
  </si>
  <si>
    <t xml:space="preserve">Establecimiento de entes subnacionales en al menos 5 estados/regiones (sobre la base de los estados/regiones de 2018), inicialmente en Shan, Ayerarwady y Sagaing.
</t>
  </si>
  <si>
    <t>Revisión teórica exploratoria sobre cómo poner en marcha un mecanismo de financiación de REDD+ para Myanmar.</t>
  </si>
  <si>
    <t>3.19 Capacidad para hacer seguimiento de las acciones de REDD+ para facilitar la gestión adaptativa de la estrategia de REDD+</t>
  </si>
  <si>
    <t xml:space="preserve"> NFMS institucionalizados en marcha para medir las emisiones de GEI y las absorciones en los bosques que permanecen como tales </t>
  </si>
  <si>
    <t xml:space="preserve">Modelos de crecimiento a nivel nacional, factores de emisión y clasificación forestal actualizados para facilitar la medición de la degradación forestal y la restauración </t>
  </si>
  <si>
    <t>3.21 Acuerdos políticos y técnicos para armonizar las distintas corrientes de REDD+ en el país  (p. ej., CF, JDI, GCF)</t>
  </si>
  <si>
    <t xml:space="preserve">Asesorar en la ejecución general de la Fase II del plan de implementación del JDI, incluyendo aportaciones a los TdR y productos pensados para cumplir las metas de la fase II del JDI; y asistir y participar en las sesiones de trabajo y reuniones especializadas con las partes interesadas pertinentes. </t>
  </si>
  <si>
    <t xml:space="preserve">Proveer aportaciones para el análisis de las implicaciones para Perú relacionadas con las alternativas para abordar el artículo 6 de PA sobre enfoques cooperativos y otros modelos </t>
  </si>
  <si>
    <t>Contribuir con recomendaciones a los planes/estrategias de involucración de las partes interesadas (entre ellas los pueblos indígenas) para la implementación de las PAM  y las NDC del sector LULUCF</t>
  </si>
  <si>
    <t>Facilitar aportaciones técnicas para analizar el rol de los "planes de vida" de la comunidad y su articulación para la implementación de REDD+ y las PAM de NDC</t>
  </si>
  <si>
    <t xml:space="preserve">Contribuir con aportaciones técnicas a la implementación de los componentes 1.1, y 1.2 de la Fase II del JDI, producto a) </t>
  </si>
  <si>
    <t>3.22 Las aportaciones de Perú para mitigar el cambio climático a través de REDD+ son medidas y reportadas tal y como se solicita en las distintas fases de REDD+, y acopladas con las acciones de reducción de emisiones relacionadas y con los acuerdos institucionales necesarios existentes</t>
  </si>
  <si>
    <t>Prestar apoyo técnico y recomendaciones para mejorar el GEI-I para el sector LULUCF, Anexo técnico de REDD+, FREL y rendición de cuentas de NDC.</t>
  </si>
  <si>
    <t>3.24 Opciones para la involucración del sector privado, para la implementación de PAM de REDD+, en el marco de NDCs</t>
  </si>
  <si>
    <t>Proveer asistencia técnica para el análisis y desarrollo de modelos de negocio agrícola, preparados para el JDI.</t>
  </si>
  <si>
    <t>Proveer apoyo técnico para el desarrollo del SIS, centrándose en enfoques y buenas prácticas de otros países, y asegurando sus consistencia con las directrices  de la CMNUCC.</t>
  </si>
  <si>
    <t xml:space="preserve">Refuerzo de la coordinación de las instituciones nacionales y las capacidades técnicas para notificar las emisiones de GEI de las actividades de REDD+ en todos los usos de la tierra. </t>
  </si>
  <si>
    <t>Facilitar el desarrollo de capacidades a los responsables de la implementación de REDD+ para operativizar el marco de Monitoreo y Evaluación (M&amp;E) para la implementación de REDD+.</t>
  </si>
  <si>
    <t>Informar los intercambios de información entre países en la subregión del Bajo Mekong (LMS) sobre paquetes de intervención de REDD+.</t>
  </si>
  <si>
    <t>3.28 Se prueba, revisa e incorpora en las decisiones gubernamentales la implementación de REDD+ y el sistema de seguimiento.</t>
  </si>
  <si>
    <t>Desarrollar la visualización de los resultados de la implementación de REDD+ en el portal de información de REDD+.</t>
  </si>
  <si>
    <t>Apoyar los intercambios entre países en la subregión del Bajo Mekong (LMS) sobre la implementación de REDD+.</t>
  </si>
  <si>
    <t>3.29 REDD+ se integra transversalmente en los sectores clave identificados en el 7º Plan de Desarrollo Nacional para facilitar la movilización de recursos e inversiones para apoyar enfoques integrados para la implementación de REDD+.</t>
  </si>
  <si>
    <t xml:space="preserve">Asesoría/formación a la plataforma de OSC sobre la implementación de programas y procesos de REDD+. </t>
  </si>
  <si>
    <t>3.31 Se diseña y es operativo un Sistema nacional de información sobre salvaguardias de REDD+.</t>
  </si>
  <si>
    <t xml:space="preserve">Diseño de SIS y operación afinada.  </t>
  </si>
  <si>
    <t xml:space="preserve">Presupuesto de enfoque y planificación territorial por categoría GNUD y Agencia ONU (en dólares estadounidenses). </t>
  </si>
  <si>
    <t xml:space="preserve">2.10  Se refuerzan  los enfoques/herramientas metodológicos seleccionados para el seguimiento y la evaluación, y se identifica el rol del NFMS en los escenarios territoriales para contribuir a la mitigación del cambio climático </t>
  </si>
  <si>
    <t xml:space="preserve">3.36 Se identifican los factores desencadenantes de un cambio transformacional en el uso de la tierra y se adapta una serie de herramientas/prácticas al contexto de REDD+. </t>
  </si>
  <si>
    <t xml:space="preserve">Estudios de caso para examinar las evidencias de soluciones de éxito que faciliten motores y factores desencadenantes de cambios transformacionales y que aborden las barreras al mismo. </t>
  </si>
  <si>
    <t xml:space="preserve">Involucración de partes interesadas, presentando las conclusiones relacionadas con los factores desencadenantes, motores y barreras a la transición a soluciones integradas y holísticas en el territorio. </t>
  </si>
  <si>
    <t xml:space="preserve">3.37 Se aumenta la conciencia global sobre el cambio transformacional en la intersección agricultura/forestería para contribuir a la implementación de REDD+. </t>
  </si>
  <si>
    <t xml:space="preserve">3.38 Diseño de herramientas de buenas prácticas y materiales de formación sobre la integración de los beneficios sociales, económicos y ambientales en el diseño de REDD+ a través de una planificación integrada del uso de la tierra.
</t>
  </si>
  <si>
    <t xml:space="preserve">Producir estudios de caso sobre los éxitos de la planificación integrada del uso de la tierra e intercambiarlos con otros países. </t>
  </si>
  <si>
    <t xml:space="preserve"> 3.34 Se establece y difunde la “justificación económica” para que el sector privado se comprometa con REDD+. </t>
  </si>
  <si>
    <t xml:space="preserve">Diálogo con las instituciones financieras y otras compañías para contraer compromisos de cero deforestación (neta) o  similares. </t>
  </si>
  <si>
    <t xml:space="preserve"> 3.35 Las instituciones financieras extienden sus préstamos o inversiones en proyectos y negocios que desvinculan la deforestación de las actividades productivas. </t>
  </si>
  <si>
    <t xml:space="preserve">Producir casos de buenas prácticas sobre alianzas público-privadas para promover mayores inversiones en actividades productivas libres de deforestación. </t>
  </si>
  <si>
    <t xml:space="preserve">Presupuesto de tenencia y pueblos indígenas por categoría GNUD y Agencia ONU (en dólares estadounidenses). </t>
  </si>
  <si>
    <t>2.9 Se refuerzan herramientas seleccionadas que permiten la recogida y mapeo de datos e información para sistemas de tenencia y su integración en REDD+</t>
  </si>
  <si>
    <t xml:space="preserve">Provisión y mejora de herramientas de demarcación de la tenencia y mapeo forestal disponibles para pueblos indígenas.  </t>
  </si>
  <si>
    <t xml:space="preserve">3.42 Se preparan, recogen y difunden productos/herramientas de conocimiento (incluido un centro de conocimiento) sobre el rol de los sistemas de  tenencia para abordar los motores de la deforestación y la degradación forestal.
</t>
  </si>
  <si>
    <t xml:space="preserve">Una plataforma de tenencia/gobernanza forestal para apoyar los debates e intercambios de prácticas para abordar la tenencia en el contexto de la REDD+ hacia la programación basada en los resultados (RBP). </t>
  </si>
  <si>
    <t xml:space="preserve">3.43 Los países socios utilizan el conocimiento y experiencia de ONU-REDD sobre la implicación de múltiples partes interesadas, gobernanza democrática y derechos de los pueblos indígenas en sus acciones de REDD+. </t>
  </si>
  <si>
    <t xml:space="preserve">Apoyo a nueva legislación para los derechos de los pueblos indígenas en relación a la gobernanza forestal, incluido el consentimiento libre, previo e informado (FPIC) (foco en: Argentina, Honduras, Kenya, República Democrática del Congo y Viet Nam).
</t>
  </si>
  <si>
    <t>Divulgación pública basada en prácticas nacionales y experiencias de terreno demostradas que promueven los derechos de los pueblos indígenas en el contexto de la REDD+, con énfasis en aquellos que incorporan un enfoque de género y multicultural (p. ej., documentos de lecciones aprendidas, notas orientativas sobre políticas).</t>
  </si>
  <si>
    <t xml:space="preserve">Apoyo en la divulgación a pueblos indígenas, incluyendo la amplia diseminación de conocimiento, logros e innovaciones de organizaciones indígenas en la interfaz bosques-clima, involucración con grupos y foros de mujeres indígenas y colaboración con el UNPFII sobre conocimiento relacionado con los procesos de bosques y clima. </t>
  </si>
  <si>
    <t>SISTEMAS NACIONALES DE SEGUIMIENTO FORESTAL PARA EL MRV DE REDD+ Presupuesto por resultado, categoría GNUD y Agencia ONU (en dólares estadounidenses)</t>
  </si>
  <si>
    <t>Prueba de nuevas herramientas OF en tres países seleccionados.</t>
  </si>
  <si>
    <t>Intercambio de información sobre herramientas OF online para los proyectos nacionales de FAO, socios cooperadores, potenciales partes interesadas y usuarios del sistema, y el público general.</t>
  </si>
  <si>
    <t>2.8 Transferencia de capacidades y habilitación del uso nacional de Open
Foris Online; apoyo operativo a sistemas NFMS/MRV en 15 países REDD+.</t>
  </si>
  <si>
    <t xml:space="preserve">Facilitar apoyo en línea y recogida de feedback para el mantenimiento y posterior desarrollo de las herramientas OF. </t>
  </si>
  <si>
    <t>Organización de formaciones: 
- Talleres regionales (2): 
 a) Sur y este de África (Kenya, Tanzania, Uganda, Mozambique, Namibia, Zambia, Zimbabwe)
 b) América Latina (países por determinar)
- Formación en los proyectos nacionales de la FAO: PNG, Bután/Myanmar/Camboya, Sudán
- Webinars (2): metas globales, 
- Presentaciones (10+): visitas en sede, COFO,  IUFRO y encuentro de socios IUFFO-WFSE  
- Encuentro de expertos técnicos y desarrolladores con los socios MoU (USFS, LUKE, Univ. de Gottingen) en sede.</t>
  </si>
  <si>
    <t xml:space="preserve">Producción de documentos técnicos: manual técnico, guía de usuario (EN-FR-ES), tutoriales de vídeo (3) para Youtube y una serie de plantillas de encuesta (5) para los inventarios forestales nacionales. Artículos en revistas forestales (3). </t>
  </si>
  <si>
    <t>Vincular REDD+, el Acuerdo de París, las NDC y los ODS. Presupuesto por resultado, categoría GNUD y Agencia ONU (en dólares estadounidenses)</t>
  </si>
  <si>
    <t xml:space="preserve">Sesiones técnicas para las partes interesadas nacionales sobre REDD+ en el contexto de las NDC, el Marco de transparencia mejorado y/o el artículo 6 (3 sesiones en persona y/o presentaciones en remoto regionales o globales). </t>
  </si>
  <si>
    <t>Apoyo técnico a través del intercambio de soluciones de NDC propuesto, en alianza con el Programa de apoyo a NDC del PNUD, a una selección de países (3-5 países en 2019).</t>
  </si>
  <si>
    <t xml:space="preserve">3.39 Una formación y programa de asesoría orientada a nivel nacional para integrar transversalmente los compromisos políticos internacionales en los procesos nacionales de REDD+; es decir, NDCs, disposiciones clave del Acuerdo de París (Art. 6 / ITMO, Marco de transparencia mejorado (ETF)) y la agenda ODS. </t>
  </si>
  <si>
    <t xml:space="preserve">3.40. Productos prácticos de conocimiento publicados para asistir a los países en la alineación de las acciones nacionales de REDD+ con los compromisos políticos internacionales; es decir, NDCs, disposiciones clave del Acuerdo de París (Art. 6 / ITMO, ETF) y la agenda ODS. </t>
  </si>
  <si>
    <t xml:space="preserve">1-2 Notas informativas sobre el rol de REDD+ en el contexto del Acuerdo de París. </t>
  </si>
  <si>
    <t>(*) Financiado mediante los fondos no gastados del PNUD 2017: $540,350</t>
  </si>
  <si>
    <t>Mecanismos de financiación REDD+. Presupuesto por resultado, categoría GNUD y Agencia ONU (en dólares estadounidenses)</t>
  </si>
  <si>
    <t>Resultado 3: se implementan y salvaguardan aportaciones de REDD+ a la mitigación del cambio climático con políticas y medidas que constituyen acciones basadas en resultados (RBA), incluido el desarrollo de acuerdos internacionales adecuados y eficaces</t>
  </si>
  <si>
    <t>3.41 Los países socios que implementan políticas y medidas de REDD+ han aumentado su conocimiento de los requisitos específicos de las fuentes de financiación de REDD+ actuales (p. ej., Fondo Verde para el Clima (GCF), Fondo del Carbono) y sobre las opciones para la inversión nacional y los marcos institucionales para la financiación de REDD+.</t>
  </si>
  <si>
    <t xml:space="preserve">Mejorar el rendimiento de los fondos nacionales y programas de inversión existentes que implementan políticas y medidas para REDD+ (demanda recibida o anticipada en 8 países). </t>
  </si>
  <si>
    <t>Asesorar a los países y sus socios de inversión sobre la arquitectura institucional necesaria para combinar y secuenciar distintos tipos y fuentes de financiación (pública y privada, nacional e internacional) para la implementación de REDD+ (con un foco específico en la alineación de los fondos de capital internacional con el plan de acción nacional para REDD+ en Ecuador como un caso piloto pionero en este sentido).</t>
  </si>
  <si>
    <t>Numerosas notas informativas y productos de lecciones aprendidas sobre las tendencias mencionadas, para su uso por los responsables nacionales, los responsables de políticas, los empresarios, financieros, socios de cooperación y otras partes interesadas implicadas en el diseño, desarrollo, coimplementación y/o seguimiento de los acuerdos y mecanismos de financiación de REDD+.</t>
  </si>
  <si>
    <t>Enfoques de jurisdicción sostenibles (*)</t>
  </si>
  <si>
    <t>(*) Financiado mediante los fondos no gastados del PNUD 2017: $267,500</t>
  </si>
  <si>
    <t>Según presupuestado en el documento 2018-2020</t>
  </si>
  <si>
    <t xml:space="preserve">Temas transversales y comunicación.  Presupuesto por resultado, categoría GNUD y Agencia ONU (en dólares estadounidenses) </t>
  </si>
  <si>
    <t xml:space="preserve">Apoyar a los referentes de REDD+ a través de los especialistas regionales de gestión del conocimiento e identificación, recogida y preparación de historias sobre las acciones de REDD+. </t>
  </si>
  <si>
    <t xml:space="preserve">3.32  Se recogen e intercambian entre países conocimiento y lecciones nacionales sobre REDD+. 
</t>
  </si>
  <si>
    <t xml:space="preserve">Desarrollar historias multimedia a través de la producción y difusión de historias de alta calidad en forma de texto, vídeos e imágenes. </t>
  </si>
  <si>
    <t xml:space="preserve">3.33 Se difunde ampliamente el conocimiento y lecciones nacionales sobre REDD+ mediante plataformas de medios/conocimiento nacionales, regionales y globales. </t>
  </si>
  <si>
    <t xml:space="preserve">Producir infografías y medios recogiendo los logros de REDD+ e información sobre bosques. </t>
  </si>
  <si>
    <t>Resultado 3: se abordan los motores de la deforestación y la degradación forestal mediante la implementación de políticas y medidas (acciones basadas en resultados), teniendo en cuenta y respetando las salvaguardias sociales y ambientales</t>
  </si>
  <si>
    <t>Se finaliza la propuesta GCF para apoyar las PAM de REDD+  en Congo y se presenta a dicho organismo.</t>
  </si>
  <si>
    <t>Demostración de cómo vincular un innovador programa piloto de restauración forestal a una Estrategia Nacional de REDD+ (*)</t>
  </si>
  <si>
    <t xml:space="preserve">2.12  Se recogen e intercambian conocimiento y lecciones nacionales sobre REDD+ y se comparten bimestralmente a través del Boletín de Recursos REDD+ (un canal clave para que los países reporten en sus acciones de REDD+). </t>
  </si>
  <si>
    <t xml:space="preserve">Producción de un boletín bimestral de ONU-REDD que incluya buenas prácticas, lecciones e historias sobre las aportaciones nacionales a la mitigación del cambio climático con una amplia cobertura de los países socios de ONU-REDD. </t>
  </si>
  <si>
    <t>1.Total de programas nacionales AT</t>
  </si>
  <si>
    <t>1. Total de programas nacionales AT</t>
  </si>
  <si>
    <t>2020 (según los totales aprobados en EB-1)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</si>
</sst>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 #,##0.00_ ;_ * \-#,##0.00_ ;_ * &quot;-&quot;??_ ;_ @_ "/>
    <numFmt numFmtId="165" formatCode="_(* #,##0_);_(* \(#,##0\);_(* &quot;-&quot;_);_(@_)"/>
    <numFmt numFmtId="166" formatCode="_(&quot;$&quot;* #,##0.00_);_(&quot;$&quot;* \(#,##0.00\);_(&quot;$&quot;* &quot;-&quot;??_);_(@_)"/>
    <numFmt numFmtId="167" formatCode="_(* #,##0.00_);_(* \(#,##0.00\);_(* &quot;-&quot;??_);_(@_)"/>
    <numFmt numFmtId="168" formatCode="_(* #,##0_);_(* \(#,##0\);_(* &quot;-&quot;??_);_(@_)"/>
    <numFmt numFmtId="169" formatCode="_ * #,##0_ ;_ * \-#,##0_ ;_ * &quot;-&quot;??_ ;_ @_ "/>
    <numFmt numFmtId="170" formatCode="_-* #,##0_-;\-* #,##0_-;_-* &quot;-&quot;??_-;_-@_-"/>
  </numFmts>
  <fonts count="52"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9"/>
      <color indexed="8"/>
      <name val="Calibri"/>
      <family val="2"/>
    </font>
    <font>
      <sz val="11"/>
      <color theme="1"/>
      <name val="Calibri"/>
      <family val="2"/>
      <scheme val="minor"/>
    </font>
    <font>
      <sz val="12"/>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11"/>
      <color theme="8" tint="-0.249977111117893"/>
      <name val="Calibri"/>
      <family val="2"/>
      <scheme val="minor"/>
    </font>
    <font>
      <i/>
      <sz val="11"/>
      <color theme="1"/>
      <name val="Calibri"/>
      <family val="2"/>
      <scheme val="minor"/>
    </font>
    <font>
      <b/>
      <i/>
      <sz val="11"/>
      <color theme="1"/>
      <name val="Calibri"/>
      <family val="2"/>
      <scheme val="minor"/>
    </font>
    <font>
      <sz val="11"/>
      <name val="Calibri"/>
      <family val="2"/>
      <scheme val="minor"/>
    </font>
    <font>
      <b/>
      <sz val="10"/>
      <color rgb="FF000000"/>
      <name val="Calibri"/>
      <family val="2"/>
      <scheme val="minor"/>
    </font>
    <font>
      <sz val="11"/>
      <color rgb="FF000000"/>
      <name val="Calibri"/>
      <family val="2"/>
      <scheme val="minor"/>
    </font>
    <font>
      <sz val="10"/>
      <color rgb="FF000000"/>
      <name val="Calibri"/>
      <family val="2"/>
      <scheme val="minor"/>
    </font>
    <font>
      <b/>
      <sz val="11"/>
      <color rgb="FF000000"/>
      <name val="Calibri"/>
      <family val="2"/>
      <scheme val="minor"/>
    </font>
    <font>
      <b/>
      <sz val="9"/>
      <color theme="1"/>
      <name val="Calibri"/>
      <family val="2"/>
      <scheme val="minor"/>
    </font>
    <font>
      <sz val="10"/>
      <color theme="1"/>
      <name val="Calibri"/>
      <family val="2"/>
      <scheme val="minor"/>
    </font>
    <font>
      <b/>
      <sz val="10"/>
      <color theme="8" tint="-0.249977111117893"/>
      <name val="Calibri"/>
      <family val="2"/>
      <scheme val="minor"/>
    </font>
    <font>
      <i/>
      <sz val="10"/>
      <color theme="1"/>
      <name val="Calibri"/>
      <family val="2"/>
      <scheme val="minor"/>
    </font>
    <font>
      <b/>
      <i/>
      <sz val="10"/>
      <color theme="1"/>
      <name val="Calibri"/>
      <family val="2"/>
      <scheme val="minor"/>
    </font>
    <font>
      <sz val="10"/>
      <name val="Calibri"/>
      <family val="2"/>
      <scheme val="minor"/>
    </font>
    <font>
      <sz val="9"/>
      <color rgb="FF000000"/>
      <name val="Calibri"/>
      <family val="2"/>
      <scheme val="minor"/>
    </font>
    <font>
      <b/>
      <sz val="9"/>
      <color rgb="FFFF0000"/>
      <name val="Calibri"/>
      <family val="2"/>
      <scheme val="minor"/>
    </font>
    <font>
      <b/>
      <sz val="9"/>
      <color rgb="FF0000CC"/>
      <name val="Calibri"/>
      <family val="2"/>
      <scheme val="minor"/>
    </font>
    <font>
      <b/>
      <sz val="9"/>
      <color theme="8" tint="-0.249977111117893"/>
      <name val="Calibri"/>
      <family val="2"/>
      <scheme val="minor"/>
    </font>
    <font>
      <sz val="9"/>
      <name val="Calibri"/>
      <family val="2"/>
      <scheme val="minor"/>
    </font>
    <font>
      <sz val="9"/>
      <color rgb="FF0000CC"/>
      <name val="Calibri"/>
      <family val="2"/>
      <scheme val="minor"/>
    </font>
    <font>
      <b/>
      <sz val="9"/>
      <name val="Calibri"/>
      <family val="2"/>
      <scheme val="minor"/>
    </font>
    <font>
      <i/>
      <sz val="9"/>
      <color theme="1"/>
      <name val="Calibri"/>
      <family val="2"/>
      <scheme val="minor"/>
    </font>
    <font>
      <b/>
      <i/>
      <sz val="9"/>
      <color theme="1"/>
      <name val="Calibri"/>
      <family val="2"/>
      <scheme val="minor"/>
    </font>
    <font>
      <b/>
      <sz val="9"/>
      <color rgb="FF000000"/>
      <name val="Calibri"/>
      <family val="2"/>
      <scheme val="minor"/>
    </font>
    <font>
      <sz val="9"/>
      <color rgb="FFFF0000"/>
      <name val="Calibri"/>
      <family val="2"/>
      <scheme val="minor"/>
    </font>
    <font>
      <sz val="9"/>
      <color theme="7"/>
      <name val="Calibri"/>
      <family val="2"/>
      <scheme val="minor"/>
    </font>
  </fonts>
  <fills count="4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D8D8D8"/>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DCE6F1"/>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232">
    <xf numFmtId="0" fontId="0"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164" fontId="21" fillId="0" borderId="0" applyFont="0" applyFill="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 fillId="0" borderId="0"/>
    <xf numFmtId="0" fontId="19"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0" fontId="15" fillId="21"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2" fillId="0" borderId="9">
      <alignment vertical="top" wrapText="1"/>
    </xf>
    <xf numFmtId="0" fontId="22" fillId="0" borderId="9">
      <alignment vertical="top"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705">
    <xf numFmtId="0" fontId="0" fillId="0" borderId="0" xfId="0"/>
    <xf numFmtId="0" fontId="21" fillId="0" borderId="0" xfId="167"/>
    <xf numFmtId="0" fontId="21" fillId="0" borderId="0" xfId="167" applyAlignment="1">
      <alignment wrapText="1"/>
    </xf>
    <xf numFmtId="168" fontId="21" fillId="0" borderId="0" xfId="167" applyNumberFormat="1"/>
    <xf numFmtId="0" fontId="21" fillId="0" borderId="0" xfId="167" applyFont="1"/>
    <xf numFmtId="165" fontId="21" fillId="0" borderId="0" xfId="167" applyNumberFormat="1"/>
    <xf numFmtId="169" fontId="21" fillId="0" borderId="0" xfId="167" applyNumberFormat="1"/>
    <xf numFmtId="164" fontId="21" fillId="0" borderId="0" xfId="167" applyNumberFormat="1"/>
    <xf numFmtId="169" fontId="21" fillId="0" borderId="0" xfId="153" applyNumberFormat="1"/>
    <xf numFmtId="0" fontId="24" fillId="25" borderId="11" xfId="167" applyFont="1" applyFill="1" applyBorder="1" applyAlignment="1">
      <alignment wrapText="1"/>
    </xf>
    <xf numFmtId="0" fontId="23" fillId="0" borderId="0" xfId="167" applyFont="1"/>
    <xf numFmtId="0" fontId="21" fillId="26" borderId="12" xfId="167" applyFill="1" applyBorder="1"/>
    <xf numFmtId="0" fontId="21" fillId="26" borderId="12" xfId="167" applyFont="1" applyFill="1" applyBorder="1"/>
    <xf numFmtId="165" fontId="21" fillId="26" borderId="12" xfId="167" applyNumberFormat="1" applyFill="1" applyBorder="1"/>
    <xf numFmtId="0" fontId="25" fillId="0" borderId="0" xfId="167" applyFont="1"/>
    <xf numFmtId="0" fontId="23" fillId="27" borderId="13" xfId="161" applyFont="1" applyFill="1" applyBorder="1" applyAlignment="1">
      <alignment horizontal="center" vertical="center"/>
    </xf>
    <xf numFmtId="0" fontId="21" fillId="0" borderId="0" xfId="161"/>
    <xf numFmtId="0" fontId="26" fillId="0" borderId="14" xfId="161" applyFont="1" applyFill="1" applyBorder="1"/>
    <xf numFmtId="169" fontId="26" fillId="0" borderId="14" xfId="161" applyNumberFormat="1" applyFont="1" applyFill="1" applyBorder="1" applyAlignment="1">
      <alignment horizontal="right"/>
    </xf>
    <xf numFmtId="0" fontId="23" fillId="0" borderId="14" xfId="161" applyFont="1" applyFill="1" applyBorder="1"/>
    <xf numFmtId="169" fontId="23" fillId="0" borderId="14" xfId="153" applyNumberFormat="1" applyFont="1" applyFill="1" applyBorder="1" applyAlignment="1">
      <alignment horizontal="right"/>
    </xf>
    <xf numFmtId="0" fontId="27" fillId="0" borderId="14" xfId="161" applyFont="1" applyBorder="1" applyAlignment="1">
      <alignment horizontal="right"/>
    </xf>
    <xf numFmtId="169" fontId="27" fillId="0" borderId="14" xfId="161" applyNumberFormat="1" applyFont="1" applyBorder="1"/>
    <xf numFmtId="0" fontId="23" fillId="0" borderId="14" xfId="161" applyFont="1" applyBorder="1"/>
    <xf numFmtId="169" fontId="28" fillId="0" borderId="14" xfId="161" applyNumberFormat="1" applyFont="1" applyBorder="1"/>
    <xf numFmtId="169" fontId="26" fillId="0" borderId="14" xfId="104" applyNumberFormat="1" applyFont="1" applyFill="1" applyBorder="1"/>
    <xf numFmtId="169" fontId="21" fillId="0" borderId="0" xfId="161" applyNumberFormat="1"/>
    <xf numFmtId="169" fontId="29" fillId="0" borderId="14" xfId="104" applyNumberFormat="1" applyFont="1" applyFill="1" applyBorder="1"/>
    <xf numFmtId="169" fontId="27" fillId="0" borderId="14" xfId="104" applyNumberFormat="1" applyFont="1" applyBorder="1"/>
    <xf numFmtId="0" fontId="21" fillId="0" borderId="15" xfId="161" applyFont="1" applyBorder="1"/>
    <xf numFmtId="169" fontId="21" fillId="0" borderId="15" xfId="104" applyNumberFormat="1" applyFont="1" applyBorder="1"/>
    <xf numFmtId="169" fontId="21" fillId="0" borderId="0" xfId="161" applyNumberFormat="1" applyBorder="1"/>
    <xf numFmtId="169" fontId="21" fillId="0" borderId="0" xfId="104" applyNumberFormat="1" applyFont="1"/>
    <xf numFmtId="3" fontId="21" fillId="0" borderId="0" xfId="161" applyNumberFormat="1" applyBorder="1"/>
    <xf numFmtId="3" fontId="21" fillId="0" borderId="0" xfId="161" applyNumberFormat="1"/>
    <xf numFmtId="0" fontId="21" fillId="0" borderId="0" xfId="161" applyFont="1"/>
    <xf numFmtId="0" fontId="30" fillId="28" borderId="16" xfId="0" applyFont="1" applyFill="1" applyBorder="1" applyAlignment="1">
      <alignment vertical="center" wrapText="1"/>
    </xf>
    <xf numFmtId="0" fontId="30" fillId="28" borderId="17" xfId="0" applyFont="1" applyFill="1" applyBorder="1" applyAlignment="1">
      <alignment vertical="center" wrapText="1"/>
    </xf>
    <xf numFmtId="0" fontId="31" fillId="0" borderId="18" xfId="0" applyFont="1" applyBorder="1" applyAlignment="1">
      <alignment vertical="center" wrapText="1"/>
    </xf>
    <xf numFmtId="0" fontId="30" fillId="0" borderId="19" xfId="0" applyFont="1" applyBorder="1" applyAlignment="1">
      <alignment horizontal="right" vertical="center"/>
    </xf>
    <xf numFmtId="0" fontId="32" fillId="0" borderId="19" xfId="0" applyFont="1" applyBorder="1" applyAlignment="1">
      <alignment horizontal="right" vertical="center"/>
    </xf>
    <xf numFmtId="0" fontId="32" fillId="0" borderId="19" xfId="0" applyFont="1" applyBorder="1" applyAlignment="1">
      <alignment vertical="center"/>
    </xf>
    <xf numFmtId="0" fontId="30" fillId="28" borderId="18" xfId="0" applyFont="1" applyFill="1" applyBorder="1" applyAlignment="1">
      <alignment vertical="center" wrapText="1"/>
    </xf>
    <xf numFmtId="0" fontId="30" fillId="28" borderId="19" xfId="0" applyFont="1" applyFill="1" applyBorder="1" applyAlignment="1">
      <alignment horizontal="right" vertical="center"/>
    </xf>
    <xf numFmtId="0" fontId="32" fillId="28" borderId="19" xfId="0" applyFont="1" applyFill="1" applyBorder="1" applyAlignment="1">
      <alignment horizontal="right" vertical="center"/>
    </xf>
    <xf numFmtId="169" fontId="31" fillId="0" borderId="19" xfId="0" applyNumberFormat="1" applyFont="1" applyBorder="1" applyAlignment="1">
      <alignment horizontal="right" vertical="center"/>
    </xf>
    <xf numFmtId="169" fontId="33" fillId="28" borderId="19" xfId="0" applyNumberFormat="1" applyFont="1" applyFill="1" applyBorder="1" applyAlignment="1">
      <alignment horizontal="right" vertical="center"/>
    </xf>
    <xf numFmtId="168" fontId="34" fillId="29" borderId="21" xfId="167" applyNumberFormat="1" applyFont="1" applyFill="1" applyBorder="1" applyAlignment="1">
      <alignment vertical="center" wrapText="1"/>
    </xf>
    <xf numFmtId="0" fontId="35" fillId="0" borderId="21" xfId="0" applyFont="1" applyBorder="1"/>
    <xf numFmtId="0" fontId="35" fillId="0" borderId="21" xfId="0" applyFont="1" applyBorder="1" applyAlignment="1">
      <alignment wrapText="1"/>
    </xf>
    <xf numFmtId="0" fontId="34" fillId="30" borderId="21" xfId="167" applyFont="1" applyFill="1" applyBorder="1" applyAlignment="1">
      <alignment vertical="center" wrapText="1"/>
    </xf>
    <xf numFmtId="0" fontId="24" fillId="25" borderId="21" xfId="167" applyFont="1" applyFill="1" applyBorder="1" applyAlignment="1">
      <alignment wrapText="1"/>
    </xf>
    <xf numFmtId="165" fontId="24" fillId="25" borderId="21" xfId="167" applyNumberFormat="1" applyFont="1" applyFill="1" applyBorder="1"/>
    <xf numFmtId="168" fontId="24" fillId="25" borderId="21" xfId="167" applyNumberFormat="1" applyFont="1" applyFill="1" applyBorder="1"/>
    <xf numFmtId="169" fontId="35" fillId="0" borderId="21" xfId="153" applyNumberFormat="1" applyFont="1" applyFill="1" applyBorder="1" applyAlignment="1"/>
    <xf numFmtId="165" fontId="35" fillId="0" borderId="21" xfId="167" applyNumberFormat="1" applyFont="1" applyBorder="1"/>
    <xf numFmtId="0" fontId="24" fillId="31" borderId="21" xfId="167" applyFont="1" applyFill="1" applyBorder="1" applyAlignment="1">
      <alignment horizontal="left" wrapText="1"/>
    </xf>
    <xf numFmtId="168" fontId="24" fillId="31" borderId="21" xfId="85" applyNumberFormat="1" applyFont="1" applyFill="1" applyBorder="1" applyAlignment="1">
      <alignment horizontal="right"/>
    </xf>
    <xf numFmtId="169" fontId="35" fillId="0" borderId="21" xfId="0" applyNumberFormat="1" applyFont="1" applyFill="1" applyBorder="1" applyAlignment="1"/>
    <xf numFmtId="169" fontId="35" fillId="0" borderId="21" xfId="167" applyNumberFormat="1" applyFont="1" applyBorder="1"/>
    <xf numFmtId="168" fontId="24" fillId="31" borderId="21" xfId="167" applyNumberFormat="1" applyFont="1" applyFill="1" applyBorder="1" applyAlignment="1">
      <alignment wrapText="1"/>
    </xf>
    <xf numFmtId="169" fontId="24" fillId="31" borderId="21" xfId="167" applyNumberFormat="1" applyFont="1" applyFill="1" applyBorder="1" applyAlignment="1">
      <alignment wrapText="1"/>
    </xf>
    <xf numFmtId="0" fontId="35" fillId="0" borderId="21" xfId="167" applyFont="1" applyBorder="1" applyAlignment="1">
      <alignment wrapText="1"/>
    </xf>
    <xf numFmtId="169" fontId="35" fillId="0" borderId="21" xfId="153" applyNumberFormat="1" applyFont="1" applyBorder="1"/>
    <xf numFmtId="0" fontId="24" fillId="32" borderId="21" xfId="167" applyFont="1" applyFill="1" applyBorder="1" applyAlignment="1">
      <alignment wrapText="1"/>
    </xf>
    <xf numFmtId="169" fontId="24" fillId="32" borderId="21" xfId="153" applyNumberFormat="1" applyFont="1" applyFill="1" applyBorder="1"/>
    <xf numFmtId="0" fontId="24" fillId="27" borderId="21" xfId="161" applyFont="1" applyFill="1" applyBorder="1" applyAlignment="1">
      <alignment horizontal="center" vertical="center"/>
    </xf>
    <xf numFmtId="0" fontId="24" fillId="27" borderId="22" xfId="161" applyFont="1" applyFill="1" applyBorder="1" applyAlignment="1">
      <alignment horizontal="center" vertical="center"/>
    </xf>
    <xf numFmtId="0" fontId="36" fillId="0" borderId="23" xfId="161" applyFont="1" applyFill="1" applyBorder="1"/>
    <xf numFmtId="169" fontId="36" fillId="0" borderId="23" xfId="161" applyNumberFormat="1" applyFont="1" applyFill="1" applyBorder="1" applyAlignment="1">
      <alignment horizontal="right"/>
    </xf>
    <xf numFmtId="169" fontId="36" fillId="0" borderId="24" xfId="161" applyNumberFormat="1" applyFont="1" applyFill="1" applyBorder="1" applyAlignment="1">
      <alignment horizontal="right"/>
    </xf>
    <xf numFmtId="0" fontId="24" fillId="0" borderId="14" xfId="161" applyFont="1" applyFill="1" applyBorder="1"/>
    <xf numFmtId="169" fontId="24" fillId="0" borderId="14" xfId="153" applyNumberFormat="1" applyFont="1" applyFill="1" applyBorder="1" applyAlignment="1">
      <alignment horizontal="right"/>
    </xf>
    <xf numFmtId="169" fontId="24" fillId="0" borderId="25" xfId="153" applyNumberFormat="1" applyFont="1" applyFill="1" applyBorder="1" applyAlignment="1">
      <alignment horizontal="right"/>
    </xf>
    <xf numFmtId="0" fontId="37" fillId="0" borderId="14" xfId="161" applyFont="1" applyBorder="1" applyAlignment="1">
      <alignment horizontal="right"/>
    </xf>
    <xf numFmtId="169" fontId="37" fillId="0" borderId="14" xfId="161" applyNumberFormat="1" applyFont="1" applyBorder="1"/>
    <xf numFmtId="169" fontId="37" fillId="0" borderId="25" xfId="161" applyNumberFormat="1" applyFont="1" applyBorder="1"/>
    <xf numFmtId="0" fontId="24" fillId="0" borderId="14" xfId="161" applyFont="1" applyBorder="1"/>
    <xf numFmtId="169" fontId="38" fillId="0" borderId="14" xfId="161" applyNumberFormat="1" applyFont="1" applyBorder="1"/>
    <xf numFmtId="169" fontId="38" fillId="0" borderId="25" xfId="161" applyNumberFormat="1" applyFont="1" applyBorder="1"/>
    <xf numFmtId="169" fontId="37" fillId="0" borderId="25" xfId="161" applyNumberFormat="1" applyFont="1" applyFill="1" applyBorder="1"/>
    <xf numFmtId="0" fontId="36" fillId="0" borderId="14" xfId="161" applyFont="1" applyFill="1" applyBorder="1"/>
    <xf numFmtId="169" fontId="36" fillId="0" borderId="14" xfId="104" applyNumberFormat="1" applyFont="1" applyFill="1" applyBorder="1"/>
    <xf numFmtId="169" fontId="36" fillId="0" borderId="25" xfId="104" applyNumberFormat="1" applyFont="1" applyFill="1" applyBorder="1"/>
    <xf numFmtId="169" fontId="39" fillId="0" borderId="14" xfId="104" applyNumberFormat="1" applyFont="1" applyFill="1" applyBorder="1"/>
    <xf numFmtId="169" fontId="39" fillId="0" borderId="25" xfId="104" applyNumberFormat="1" applyFont="1" applyFill="1" applyBorder="1"/>
    <xf numFmtId="169" fontId="37" fillId="0" borderId="14" xfId="104" applyNumberFormat="1" applyFont="1" applyBorder="1"/>
    <xf numFmtId="169" fontId="37" fillId="0" borderId="25" xfId="104" applyNumberFormat="1" applyFont="1" applyBorder="1"/>
    <xf numFmtId="0" fontId="35" fillId="0" borderId="15" xfId="161" applyFont="1" applyBorder="1"/>
    <xf numFmtId="169" fontId="35" fillId="0" borderId="15" xfId="104" applyNumberFormat="1" applyFont="1" applyBorder="1"/>
    <xf numFmtId="169" fontId="35" fillId="0" borderId="26" xfId="104" applyNumberFormat="1" applyFont="1" applyBorder="1"/>
    <xf numFmtId="0" fontId="24" fillId="0" borderId="21" xfId="161" applyFont="1" applyFill="1" applyBorder="1"/>
    <xf numFmtId="169" fontId="24" fillId="0" borderId="21" xfId="104" applyNumberFormat="1" applyFont="1" applyBorder="1"/>
    <xf numFmtId="169" fontId="24" fillId="0" borderId="22" xfId="104" applyNumberFormat="1" applyFont="1" applyBorder="1"/>
    <xf numFmtId="0" fontId="23" fillId="0" borderId="27" xfId="161" applyFont="1" applyBorder="1"/>
    <xf numFmtId="0" fontId="21" fillId="0" borderId="27" xfId="161" applyBorder="1"/>
    <xf numFmtId="0" fontId="23" fillId="0" borderId="21" xfId="161" applyFont="1" applyFill="1" applyBorder="1"/>
    <xf numFmtId="169" fontId="23" fillId="0" borderId="21" xfId="104" applyNumberFormat="1" applyFont="1" applyBorder="1"/>
    <xf numFmtId="165" fontId="24" fillId="25" borderId="22" xfId="167" applyNumberFormat="1" applyFont="1" applyFill="1" applyBorder="1"/>
    <xf numFmtId="0" fontId="24" fillId="25" borderId="28" xfId="167" applyFont="1" applyFill="1" applyBorder="1" applyAlignment="1">
      <alignment wrapText="1"/>
    </xf>
    <xf numFmtId="164" fontId="35" fillId="0" borderId="21" xfId="153" applyFont="1" applyFill="1" applyBorder="1" applyAlignment="1"/>
    <xf numFmtId="0" fontId="35" fillId="0" borderId="28" xfId="0" applyFont="1" applyBorder="1"/>
    <xf numFmtId="0" fontId="35" fillId="0" borderId="21" xfId="0" applyFont="1" applyFill="1" applyBorder="1" applyAlignment="1"/>
    <xf numFmtId="0" fontId="35" fillId="0" borderId="28" xfId="0" applyFont="1" applyBorder="1" applyAlignment="1">
      <alignment wrapText="1"/>
    </xf>
    <xf numFmtId="168" fontId="24" fillId="31" borderId="21" xfId="85" applyNumberFormat="1" applyFont="1" applyFill="1" applyBorder="1"/>
    <xf numFmtId="165" fontId="35" fillId="31" borderId="21" xfId="167" applyNumberFormat="1" applyFont="1" applyFill="1" applyBorder="1"/>
    <xf numFmtId="0" fontId="24" fillId="31" borderId="28" xfId="167" applyFont="1" applyFill="1" applyBorder="1" applyAlignment="1">
      <alignment horizontal="left" wrapText="1"/>
    </xf>
    <xf numFmtId="164" fontId="35" fillId="0" borderId="21" xfId="153" applyFont="1" applyBorder="1"/>
    <xf numFmtId="164" fontId="35" fillId="31" borderId="21" xfId="153" applyFont="1" applyFill="1" applyBorder="1"/>
    <xf numFmtId="168" fontId="24" fillId="31" borderId="28" xfId="167" applyNumberFormat="1" applyFont="1" applyFill="1" applyBorder="1" applyAlignment="1">
      <alignment wrapText="1"/>
    </xf>
    <xf numFmtId="0" fontId="35" fillId="0" borderId="28" xfId="167" applyFont="1" applyBorder="1" applyAlignment="1">
      <alignment wrapText="1"/>
    </xf>
    <xf numFmtId="169" fontId="35" fillId="32" borderId="21" xfId="153" applyNumberFormat="1" applyFont="1" applyFill="1" applyBorder="1"/>
    <xf numFmtId="164" fontId="35" fillId="32" borderId="21" xfId="153" applyFont="1" applyFill="1" applyBorder="1"/>
    <xf numFmtId="0" fontId="24" fillId="32" borderId="28" xfId="167" applyFont="1" applyFill="1" applyBorder="1" applyAlignment="1">
      <alignment wrapText="1"/>
    </xf>
    <xf numFmtId="0" fontId="34" fillId="29" borderId="21" xfId="167" applyFont="1" applyFill="1" applyBorder="1" applyAlignment="1">
      <alignment horizontal="center" vertical="center" wrapText="1"/>
    </xf>
    <xf numFmtId="0" fontId="25" fillId="33" borderId="21" xfId="0" applyFont="1" applyFill="1" applyBorder="1" applyAlignment="1">
      <alignment horizontal="left" vertical="center"/>
    </xf>
    <xf numFmtId="0" fontId="25" fillId="33" borderId="21" xfId="0" applyFont="1" applyFill="1" applyBorder="1" applyAlignment="1">
      <alignment horizontal="left" vertical="center" wrapText="1"/>
    </xf>
    <xf numFmtId="168" fontId="25" fillId="33" borderId="29" xfId="167" applyNumberFormat="1" applyFont="1" applyFill="1" applyBorder="1" applyAlignment="1">
      <alignment vertical="center" wrapText="1"/>
    </xf>
    <xf numFmtId="0" fontId="25" fillId="34" borderId="21" xfId="0" applyFont="1" applyFill="1" applyBorder="1" applyAlignment="1">
      <alignment wrapText="1"/>
    </xf>
    <xf numFmtId="0" fontId="25" fillId="34" borderId="21" xfId="0" applyFont="1" applyFill="1" applyBorder="1" applyAlignment="1">
      <alignment vertical="center" wrapText="1"/>
    </xf>
    <xf numFmtId="0" fontId="20" fillId="33" borderId="21" xfId="0" applyFont="1" applyFill="1" applyBorder="1" applyAlignment="1">
      <alignment vertical="center" wrapText="1"/>
    </xf>
    <xf numFmtId="0" fontId="20" fillId="33" borderId="20" xfId="167" applyFont="1" applyFill="1" applyBorder="1" applyAlignment="1">
      <alignment vertical="center" wrapText="1"/>
    </xf>
    <xf numFmtId="168" fontId="25" fillId="33" borderId="21" xfId="167" applyNumberFormat="1" applyFont="1" applyFill="1" applyBorder="1" applyAlignment="1">
      <alignment horizontal="left" vertical="center" wrapText="1"/>
    </xf>
    <xf numFmtId="0" fontId="20" fillId="33" borderId="20" xfId="167" applyFont="1" applyFill="1" applyBorder="1" applyAlignment="1">
      <alignment horizontal="left" vertical="center" wrapText="1"/>
    </xf>
    <xf numFmtId="0" fontId="20" fillId="33" borderId="21" xfId="0" applyFont="1" applyFill="1" applyBorder="1" applyAlignment="1">
      <alignment horizontal="left" vertical="center" wrapText="1"/>
    </xf>
    <xf numFmtId="0" fontId="20" fillId="33" borderId="21" xfId="0" applyFont="1" applyFill="1" applyBorder="1" applyAlignment="1">
      <alignment vertical="center"/>
    </xf>
    <xf numFmtId="0" fontId="20" fillId="33" borderId="11" xfId="167" applyFont="1" applyFill="1" applyBorder="1" applyAlignment="1">
      <alignment vertical="center" wrapText="1"/>
    </xf>
    <xf numFmtId="0" fontId="25" fillId="34" borderId="29" xfId="167" applyFont="1" applyFill="1" applyBorder="1" applyAlignment="1">
      <alignment vertical="center" wrapText="1"/>
    </xf>
    <xf numFmtId="0" fontId="25" fillId="34" borderId="11" xfId="167" applyFont="1" applyFill="1" applyBorder="1" applyAlignment="1">
      <alignment vertical="center" wrapText="1"/>
    </xf>
    <xf numFmtId="0" fontId="25" fillId="34" borderId="21" xfId="167" applyFont="1" applyFill="1" applyBorder="1" applyAlignment="1">
      <alignment vertical="center" wrapText="1"/>
    </xf>
    <xf numFmtId="168" fontId="25" fillId="34" borderId="21" xfId="167" applyNumberFormat="1" applyFont="1" applyFill="1" applyBorder="1" applyAlignment="1">
      <alignment vertical="center" wrapText="1"/>
    </xf>
    <xf numFmtId="0" fontId="25" fillId="35" borderId="21" xfId="0" applyFont="1" applyFill="1" applyBorder="1" applyAlignment="1">
      <alignment horizontal="left" vertical="center" wrapText="1"/>
    </xf>
    <xf numFmtId="0" fontId="25" fillId="35" borderId="21" xfId="0" applyFont="1" applyFill="1" applyBorder="1" applyAlignment="1">
      <alignment vertical="center" wrapText="1"/>
    </xf>
    <xf numFmtId="0" fontId="25" fillId="35" borderId="21" xfId="0" applyFont="1" applyFill="1" applyBorder="1" applyAlignment="1">
      <alignment horizontal="left" vertical="center"/>
    </xf>
    <xf numFmtId="0" fontId="25" fillId="30" borderId="21" xfId="0" applyFont="1" applyFill="1" applyBorder="1" applyAlignment="1">
      <alignment vertical="center" wrapText="1"/>
    </xf>
    <xf numFmtId="0" fontId="25" fillId="30" borderId="21" xfId="0" applyFont="1" applyFill="1" applyBorder="1" applyAlignment="1">
      <alignment horizontal="left" vertical="center"/>
    </xf>
    <xf numFmtId="0" fontId="25" fillId="33" borderId="29" xfId="0" applyFont="1" applyFill="1" applyBorder="1" applyAlignment="1">
      <alignment vertical="center"/>
    </xf>
    <xf numFmtId="0" fontId="34" fillId="0" borderId="0" xfId="167" applyFont="1" applyAlignment="1">
      <alignment vertical="center"/>
    </xf>
    <xf numFmtId="0" fontId="25" fillId="0" borderId="0" xfId="167" applyFont="1" applyAlignment="1">
      <alignment vertical="center"/>
    </xf>
    <xf numFmtId="0" fontId="34" fillId="36" borderId="21" xfId="167" applyFont="1" applyFill="1" applyBorder="1" applyAlignment="1">
      <alignment vertical="center" wrapText="1"/>
    </xf>
    <xf numFmtId="0" fontId="34" fillId="31" borderId="21" xfId="167" applyFont="1" applyFill="1" applyBorder="1" applyAlignment="1">
      <alignment horizontal="left" vertical="center" wrapText="1"/>
    </xf>
    <xf numFmtId="0" fontId="25" fillId="0" borderId="21" xfId="0" applyFont="1" applyBorder="1" applyAlignment="1">
      <alignment horizontal="left" vertical="center"/>
    </xf>
    <xf numFmtId="0" fontId="25" fillId="0" borderId="21" xfId="0" applyFont="1" applyBorder="1" applyAlignment="1">
      <alignment horizontal="left" vertical="center" wrapText="1"/>
    </xf>
    <xf numFmtId="0" fontId="25" fillId="34" borderId="21" xfId="0" applyFont="1" applyFill="1" applyBorder="1" applyAlignment="1">
      <alignment horizontal="left" vertical="center"/>
    </xf>
    <xf numFmtId="0" fontId="25" fillId="37" borderId="11" xfId="0" applyFont="1" applyFill="1" applyBorder="1" applyAlignment="1">
      <alignment vertical="center" wrapText="1"/>
    </xf>
    <xf numFmtId="0" fontId="25" fillId="29" borderId="21" xfId="0" applyFont="1" applyFill="1" applyBorder="1" applyAlignment="1">
      <alignment horizontal="left" vertical="center" wrapText="1"/>
    </xf>
    <xf numFmtId="168" fontId="34" fillId="37" borderId="21" xfId="167" applyNumberFormat="1" applyFont="1" applyFill="1" applyBorder="1" applyAlignment="1">
      <alignment vertical="center" wrapText="1"/>
    </xf>
    <xf numFmtId="168" fontId="34" fillId="37" borderId="21" xfId="167" applyNumberFormat="1" applyFont="1" applyFill="1" applyBorder="1" applyAlignment="1">
      <alignment horizontal="center" vertical="center" wrapText="1"/>
    </xf>
    <xf numFmtId="169" fontId="25" fillId="35" borderId="21" xfId="153" applyNumberFormat="1" applyFont="1" applyFill="1" applyBorder="1" applyAlignment="1">
      <alignment vertical="center"/>
    </xf>
    <xf numFmtId="0" fontId="25" fillId="34" borderId="11" xfId="0" applyFont="1" applyFill="1" applyBorder="1" applyAlignment="1">
      <alignment wrapText="1"/>
    </xf>
    <xf numFmtId="169" fontId="25" fillId="33" borderId="21" xfId="153" applyNumberFormat="1" applyFont="1" applyFill="1" applyBorder="1" applyAlignment="1">
      <alignment vertical="center"/>
    </xf>
    <xf numFmtId="0" fontId="25" fillId="29" borderId="21" xfId="0" applyFont="1" applyFill="1" applyBorder="1" applyAlignment="1">
      <alignment vertical="center" wrapText="1"/>
    </xf>
    <xf numFmtId="0" fontId="25" fillId="33" borderId="21" xfId="0" applyFont="1" applyFill="1" applyBorder="1" applyAlignment="1">
      <alignment vertical="center" wrapText="1"/>
    </xf>
    <xf numFmtId="168" fontId="34" fillId="33" borderId="21" xfId="167" applyNumberFormat="1" applyFont="1" applyFill="1" applyBorder="1" applyAlignment="1">
      <alignment vertical="center" wrapText="1"/>
    </xf>
    <xf numFmtId="168" fontId="25" fillId="33" borderId="21" xfId="167" applyNumberFormat="1" applyFont="1" applyFill="1" applyBorder="1" applyAlignment="1">
      <alignment vertical="center" wrapText="1"/>
    </xf>
    <xf numFmtId="0" fontId="25" fillId="33" borderId="0" xfId="0" applyFont="1" applyFill="1" applyAlignment="1">
      <alignment vertical="center" wrapText="1"/>
    </xf>
    <xf numFmtId="0" fontId="25" fillId="29" borderId="21" xfId="0" applyFont="1" applyFill="1" applyBorder="1" applyAlignment="1">
      <alignment horizontal="left" vertical="center"/>
    </xf>
    <xf numFmtId="169" fontId="25" fillId="34" borderId="21" xfId="153" applyNumberFormat="1" applyFont="1" applyFill="1" applyBorder="1" applyAlignment="1">
      <alignment vertical="center"/>
    </xf>
    <xf numFmtId="168" fontId="25" fillId="35" borderId="21" xfId="167" applyNumberFormat="1" applyFont="1" applyFill="1" applyBorder="1" applyAlignment="1">
      <alignment vertical="center" wrapText="1"/>
    </xf>
    <xf numFmtId="0" fontId="34" fillId="0" borderId="0" xfId="167" applyFont="1" applyAlignment="1">
      <alignment vertical="center" wrapText="1"/>
    </xf>
    <xf numFmtId="0" fontId="40" fillId="33" borderId="21" xfId="0" applyFont="1" applyFill="1" applyBorder="1" applyAlignment="1">
      <alignment horizontal="left" vertical="center" wrapText="1"/>
    </xf>
    <xf numFmtId="0" fontId="40" fillId="33" borderId="0" xfId="0" applyFont="1" applyFill="1" applyAlignment="1">
      <alignment horizontal="left" vertical="center" wrapText="1"/>
    </xf>
    <xf numFmtId="169" fontId="25" fillId="35" borderId="21" xfId="153" applyNumberFormat="1" applyFont="1" applyFill="1" applyBorder="1" applyAlignment="1">
      <alignment horizontal="left" vertical="center" wrapText="1"/>
    </xf>
    <xf numFmtId="0" fontId="25" fillId="35" borderId="29" xfId="0" applyFont="1" applyFill="1" applyBorder="1" applyAlignment="1">
      <alignment horizontal="left" vertical="center" wrapText="1"/>
    </xf>
    <xf numFmtId="0" fontId="25" fillId="34" borderId="21" xfId="167" applyFont="1" applyFill="1" applyBorder="1" applyAlignment="1">
      <alignment horizontal="left" vertical="center" wrapText="1"/>
    </xf>
    <xf numFmtId="0" fontId="34" fillId="36" borderId="21" xfId="167" applyFont="1" applyFill="1" applyBorder="1" applyAlignment="1">
      <alignment horizontal="center" vertical="center" wrapText="1"/>
    </xf>
    <xf numFmtId="0" fontId="34" fillId="33" borderId="20" xfId="167" applyFont="1" applyFill="1" applyBorder="1" applyAlignment="1">
      <alignment horizontal="center" vertical="center" wrapText="1"/>
    </xf>
    <xf numFmtId="0" fontId="25" fillId="33" borderId="29"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25" fillId="34" borderId="29" xfId="0" applyFont="1" applyFill="1" applyBorder="1" applyAlignment="1">
      <alignment horizontal="left" vertical="center" wrapText="1"/>
    </xf>
    <xf numFmtId="0" fontId="25" fillId="34" borderId="11" xfId="0" applyFont="1" applyFill="1" applyBorder="1" applyAlignment="1">
      <alignment horizontal="left" vertical="center" wrapText="1"/>
    </xf>
    <xf numFmtId="0" fontId="25" fillId="34" borderId="11" xfId="0" applyFont="1" applyFill="1" applyBorder="1" applyAlignment="1">
      <alignment horizontal="left" vertical="center"/>
    </xf>
    <xf numFmtId="0" fontId="25" fillId="33" borderId="11" xfId="0" applyFont="1" applyFill="1" applyBorder="1" applyAlignment="1">
      <alignment horizontal="left" vertical="center"/>
    </xf>
    <xf numFmtId="169" fontId="25" fillId="33" borderId="11" xfId="153" applyNumberFormat="1" applyFont="1" applyFill="1" applyBorder="1" applyAlignment="1">
      <alignment horizontal="center" vertical="center"/>
    </xf>
    <xf numFmtId="168" fontId="25" fillId="34" borderId="11" xfId="167" applyNumberFormat="1" applyFont="1" applyFill="1" applyBorder="1" applyAlignment="1">
      <alignment vertical="center" wrapText="1"/>
    </xf>
    <xf numFmtId="0" fontId="25" fillId="34" borderId="21" xfId="0" applyFont="1" applyFill="1" applyBorder="1" applyAlignment="1">
      <alignment horizontal="left" vertical="center" wrapText="1"/>
    </xf>
    <xf numFmtId="3" fontId="25" fillId="35" borderId="21" xfId="0" applyNumberFormat="1" applyFont="1" applyFill="1" applyBorder="1" applyAlignment="1">
      <alignment vertical="center"/>
    </xf>
    <xf numFmtId="0" fontId="25" fillId="0" borderId="0" xfId="0" applyFont="1"/>
    <xf numFmtId="170" fontId="25" fillId="34" borderId="21" xfId="118" applyNumberFormat="1" applyFont="1" applyFill="1" applyBorder="1" applyAlignment="1">
      <alignment vertical="center"/>
    </xf>
    <xf numFmtId="0" fontId="25" fillId="35" borderId="21" xfId="167" applyFont="1" applyFill="1" applyBorder="1" applyAlignment="1">
      <alignment horizontal="left" wrapText="1"/>
    </xf>
    <xf numFmtId="0" fontId="25" fillId="35" borderId="21" xfId="167" applyFont="1" applyFill="1" applyBorder="1" applyAlignment="1">
      <alignment horizontal="left" vertical="center" wrapText="1"/>
    </xf>
    <xf numFmtId="0" fontId="25" fillId="35" borderId="21" xfId="167" applyFont="1" applyFill="1" applyBorder="1" applyAlignment="1">
      <alignment vertical="center" wrapText="1"/>
    </xf>
    <xf numFmtId="164" fontId="25" fillId="0" borderId="0" xfId="0" applyNumberFormat="1" applyFont="1"/>
    <xf numFmtId="170" fontId="25" fillId="33" borderId="21" xfId="118" applyNumberFormat="1" applyFont="1" applyFill="1" applyBorder="1" applyAlignment="1">
      <alignment vertical="center"/>
    </xf>
    <xf numFmtId="0" fontId="25" fillId="0" borderId="0" xfId="0" applyFont="1" applyFill="1"/>
    <xf numFmtId="170" fontId="25" fillId="33" borderId="11" xfId="118" applyNumberFormat="1" applyFont="1" applyFill="1" applyBorder="1" applyAlignment="1">
      <alignment vertical="center"/>
    </xf>
    <xf numFmtId="168" fontId="34" fillId="37" borderId="21" xfId="167" applyNumberFormat="1" applyFont="1" applyFill="1" applyBorder="1" applyAlignment="1">
      <alignment horizontal="left" vertical="center" wrapText="1"/>
    </xf>
    <xf numFmtId="0" fontId="25" fillId="38" borderId="21" xfId="0" applyFont="1" applyFill="1" applyBorder="1" applyAlignment="1">
      <alignment vertical="center"/>
    </xf>
    <xf numFmtId="0" fontId="25" fillId="38" borderId="21" xfId="0" applyFont="1" applyFill="1" applyBorder="1" applyAlignment="1">
      <alignment vertical="center" wrapText="1"/>
    </xf>
    <xf numFmtId="169" fontId="34" fillId="38" borderId="21" xfId="0" applyNumberFormat="1" applyFont="1" applyFill="1" applyBorder="1" applyAlignment="1">
      <alignment vertical="center"/>
    </xf>
    <xf numFmtId="169" fontId="25" fillId="0" borderId="0" xfId="153" applyNumberFormat="1" applyFont="1"/>
    <xf numFmtId="0" fontId="25" fillId="0" borderId="21" xfId="0" applyFont="1" applyBorder="1" applyAlignment="1">
      <alignment vertical="center"/>
    </xf>
    <xf numFmtId="0" fontId="25" fillId="0" borderId="21" xfId="0" applyFont="1" applyBorder="1" applyAlignment="1">
      <alignment vertical="center" wrapText="1"/>
    </xf>
    <xf numFmtId="169" fontId="25" fillId="0" borderId="21" xfId="0" applyNumberFormat="1" applyFont="1" applyBorder="1" applyAlignment="1">
      <alignment vertical="center"/>
    </xf>
    <xf numFmtId="0" fontId="34" fillId="38" borderId="21" xfId="0" applyFont="1" applyFill="1" applyBorder="1" applyAlignment="1">
      <alignment vertical="center"/>
    </xf>
    <xf numFmtId="0" fontId="34" fillId="39" borderId="21" xfId="0" applyFont="1" applyFill="1" applyBorder="1" applyAlignment="1">
      <alignment vertical="center"/>
    </xf>
    <xf numFmtId="0" fontId="34" fillId="39" borderId="21" xfId="0" applyFont="1" applyFill="1" applyBorder="1" applyAlignment="1">
      <alignment vertical="center" wrapText="1"/>
    </xf>
    <xf numFmtId="170" fontId="25" fillId="34" borderId="21" xfId="0" applyNumberFormat="1" applyFont="1" applyFill="1" applyBorder="1" applyAlignment="1">
      <alignment vertical="center"/>
    </xf>
    <xf numFmtId="169" fontId="25" fillId="35" borderId="21" xfId="0" applyNumberFormat="1" applyFont="1" applyFill="1" applyBorder="1" applyAlignment="1">
      <alignment vertical="center"/>
    </xf>
    <xf numFmtId="170" fontId="25" fillId="33" borderId="21" xfId="0" applyNumberFormat="1" applyFont="1" applyFill="1" applyBorder="1" applyAlignment="1">
      <alignment vertical="center" wrapText="1"/>
    </xf>
    <xf numFmtId="170" fontId="25" fillId="0" borderId="21" xfId="0" applyNumberFormat="1" applyFont="1" applyBorder="1" applyAlignment="1">
      <alignment vertical="center"/>
    </xf>
    <xf numFmtId="0" fontId="41" fillId="40" borderId="21" xfId="0" applyFont="1" applyFill="1" applyBorder="1" applyAlignment="1">
      <alignment vertical="center"/>
    </xf>
    <xf numFmtId="170" fontId="41" fillId="40" borderId="21" xfId="0" applyNumberFormat="1" applyFont="1" applyFill="1" applyBorder="1" applyAlignment="1">
      <alignment vertical="center"/>
    </xf>
    <xf numFmtId="170" fontId="41" fillId="40" borderId="21" xfId="0" applyNumberFormat="1" applyFont="1" applyFill="1" applyBorder="1" applyAlignment="1">
      <alignment vertical="center" wrapText="1"/>
    </xf>
    <xf numFmtId="170" fontId="41" fillId="0" borderId="21" xfId="0" applyNumberFormat="1" applyFont="1" applyBorder="1" applyAlignment="1">
      <alignment vertical="center"/>
    </xf>
    <xf numFmtId="169" fontId="25" fillId="0" borderId="21" xfId="0" applyNumberFormat="1" applyFont="1" applyBorder="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34" fillId="0" borderId="0" xfId="0" applyFont="1" applyFill="1" applyBorder="1" applyAlignment="1">
      <alignment vertical="center"/>
    </xf>
    <xf numFmtId="170" fontId="25" fillId="0" borderId="21" xfId="0" applyNumberFormat="1" applyFont="1" applyBorder="1" applyAlignment="1">
      <alignment vertical="center" wrapText="1"/>
    </xf>
    <xf numFmtId="0" fontId="34" fillId="0" borderId="21" xfId="0" applyFont="1" applyBorder="1" applyAlignment="1">
      <alignment vertical="center"/>
    </xf>
    <xf numFmtId="170" fontId="34" fillId="0" borderId="21" xfId="0" applyNumberFormat="1" applyFont="1" applyBorder="1" applyAlignment="1">
      <alignment vertical="center"/>
    </xf>
    <xf numFmtId="170" fontId="34" fillId="0" borderId="21" xfId="0" applyNumberFormat="1" applyFont="1" applyBorder="1" applyAlignment="1">
      <alignment vertical="center" wrapText="1"/>
    </xf>
    <xf numFmtId="169" fontId="34" fillId="27" borderId="30" xfId="153" applyNumberFormat="1" applyFont="1" applyFill="1" applyBorder="1" applyAlignment="1">
      <alignment vertical="center" wrapText="1"/>
    </xf>
    <xf numFmtId="169" fontId="34" fillId="27" borderId="30" xfId="153" applyNumberFormat="1" applyFont="1" applyFill="1" applyBorder="1" applyAlignment="1">
      <alignment horizontal="center" vertical="center"/>
    </xf>
    <xf numFmtId="169" fontId="34" fillId="27" borderId="30" xfId="153" applyNumberFormat="1" applyFont="1" applyFill="1" applyBorder="1" applyAlignment="1">
      <alignment horizontal="center" vertical="center" wrapText="1"/>
    </xf>
    <xf numFmtId="0" fontId="34" fillId="25" borderId="21" xfId="167" applyFont="1" applyFill="1" applyBorder="1" applyAlignment="1">
      <alignment vertical="center" wrapText="1"/>
    </xf>
    <xf numFmtId="0" fontId="34" fillId="25" borderId="21" xfId="167" applyFont="1" applyFill="1" applyBorder="1" applyAlignment="1">
      <alignment horizontal="center" vertical="center" wrapText="1"/>
    </xf>
    <xf numFmtId="165" fontId="34" fillId="25" borderId="21" xfId="167" applyNumberFormat="1" applyFont="1" applyFill="1" applyBorder="1" applyAlignment="1">
      <alignment horizontal="center" vertical="center"/>
    </xf>
    <xf numFmtId="168" fontId="34" fillId="25" borderId="21" xfId="167" applyNumberFormat="1" applyFont="1" applyFill="1" applyBorder="1" applyAlignment="1">
      <alignment horizontal="center" vertical="center" wrapText="1"/>
    </xf>
    <xf numFmtId="169" fontId="25" fillId="0" borderId="21" xfId="153" applyNumberFormat="1" applyFont="1" applyFill="1" applyBorder="1" applyAlignment="1">
      <alignment vertical="center"/>
    </xf>
    <xf numFmtId="169" fontId="25" fillId="34" borderId="21" xfId="0" applyNumberFormat="1" applyFont="1" applyFill="1" applyBorder="1" applyAlignment="1">
      <alignment vertical="center"/>
    </xf>
    <xf numFmtId="169" fontId="25" fillId="35" borderId="21" xfId="0" applyNumberFormat="1" applyFont="1" applyFill="1" applyBorder="1" applyAlignment="1">
      <alignment vertical="center" wrapText="1"/>
    </xf>
    <xf numFmtId="169" fontId="25" fillId="33" borderId="21" xfId="0" applyNumberFormat="1" applyFont="1" applyFill="1" applyBorder="1" applyAlignment="1">
      <alignment vertical="center"/>
    </xf>
    <xf numFmtId="168" fontId="34" fillId="31" borderId="21" xfId="85" applyNumberFormat="1" applyFont="1" applyFill="1" applyBorder="1" applyAlignment="1">
      <alignment horizontal="right" vertical="center"/>
    </xf>
    <xf numFmtId="168" fontId="34" fillId="31" borderId="21" xfId="85" applyNumberFormat="1" applyFont="1" applyFill="1" applyBorder="1" applyAlignment="1">
      <alignment horizontal="right" vertical="center" wrapText="1"/>
    </xf>
    <xf numFmtId="0" fontId="34" fillId="0" borderId="0" xfId="0" applyFont="1" applyAlignment="1">
      <alignment vertical="center"/>
    </xf>
    <xf numFmtId="0" fontId="25" fillId="0" borderId="0" xfId="0" applyFont="1" applyAlignment="1">
      <alignment horizontal="left" vertical="center" wrapText="1"/>
    </xf>
    <xf numFmtId="170" fontId="25" fillId="29" borderId="21" xfId="118" applyNumberFormat="1" applyFont="1" applyFill="1" applyBorder="1" applyAlignment="1">
      <alignment vertical="center"/>
    </xf>
    <xf numFmtId="170" fontId="25" fillId="34" borderId="11" xfId="118" applyNumberFormat="1" applyFont="1" applyFill="1" applyBorder="1" applyAlignment="1">
      <alignment vertical="center"/>
    </xf>
    <xf numFmtId="168" fontId="25" fillId="29" borderId="21" xfId="167" applyNumberFormat="1" applyFont="1" applyFill="1" applyBorder="1" applyAlignment="1">
      <alignment vertical="center" wrapText="1"/>
    </xf>
    <xf numFmtId="169" fontId="25" fillId="0" borderId="21" xfId="153" applyNumberFormat="1" applyFont="1" applyBorder="1" applyAlignment="1">
      <alignment vertical="center"/>
    </xf>
    <xf numFmtId="170" fontId="25" fillId="33" borderId="21" xfId="0" applyNumberFormat="1" applyFont="1" applyFill="1" applyBorder="1" applyAlignment="1">
      <alignment vertical="center"/>
    </xf>
    <xf numFmtId="169" fontId="41" fillId="40" borderId="21" xfId="0" applyNumberFormat="1" applyFont="1" applyFill="1" applyBorder="1" applyAlignment="1">
      <alignment vertical="center"/>
    </xf>
    <xf numFmtId="169" fontId="25" fillId="0" borderId="0" xfId="0" applyNumberFormat="1" applyFont="1"/>
    <xf numFmtId="170" fontId="34" fillId="34" borderId="21" xfId="0" applyNumberFormat="1" applyFont="1" applyFill="1" applyBorder="1" applyAlignment="1">
      <alignment vertical="center"/>
    </xf>
    <xf numFmtId="169" fontId="34" fillId="41" borderId="0" xfId="153" applyNumberFormat="1" applyFont="1" applyFill="1" applyBorder="1" applyAlignment="1">
      <alignment vertical="center"/>
    </xf>
    <xf numFmtId="168" fontId="34" fillId="25" borderId="21" xfId="167" applyNumberFormat="1" applyFont="1" applyFill="1" applyBorder="1" applyAlignment="1">
      <alignment horizontal="center" vertical="center"/>
    </xf>
    <xf numFmtId="0" fontId="25" fillId="41" borderId="0" xfId="0" applyFont="1" applyFill="1"/>
    <xf numFmtId="0" fontId="40" fillId="33" borderId="29" xfId="0" applyFont="1" applyFill="1" applyBorder="1" applyAlignment="1">
      <alignment vertical="center" wrapText="1"/>
    </xf>
    <xf numFmtId="49" fontId="25" fillId="35" borderId="21" xfId="167" applyNumberFormat="1" applyFont="1" applyFill="1" applyBorder="1" applyAlignment="1">
      <alignment vertical="center" wrapText="1"/>
    </xf>
    <xf numFmtId="169" fontId="25" fillId="33" borderId="21" xfId="0" applyNumberFormat="1" applyFont="1" applyFill="1" applyBorder="1" applyAlignment="1">
      <alignment vertical="center" wrapText="1"/>
    </xf>
    <xf numFmtId="170" fontId="34" fillId="35" borderId="21" xfId="0" applyNumberFormat="1" applyFont="1" applyFill="1" applyBorder="1" applyAlignment="1">
      <alignment vertical="center"/>
    </xf>
    <xf numFmtId="170" fontId="34" fillId="33" borderId="21" xfId="0" applyNumberFormat="1" applyFont="1" applyFill="1" applyBorder="1" applyAlignment="1">
      <alignment vertical="center" wrapText="1"/>
    </xf>
    <xf numFmtId="170" fontId="25" fillId="35" borderId="29" xfId="118" applyNumberFormat="1" applyFont="1" applyFill="1" applyBorder="1" applyAlignment="1">
      <alignment vertical="center"/>
    </xf>
    <xf numFmtId="0" fontId="25" fillId="30" borderId="21" xfId="167" applyFont="1" applyFill="1" applyBorder="1" applyAlignment="1">
      <alignment vertical="center" wrapText="1"/>
    </xf>
    <xf numFmtId="170" fontId="25" fillId="30" borderId="21" xfId="118" applyNumberFormat="1" applyFont="1" applyFill="1" applyBorder="1" applyAlignment="1">
      <alignment vertical="center"/>
    </xf>
    <xf numFmtId="168" fontId="25" fillId="30" borderId="21" xfId="167" applyNumberFormat="1" applyFont="1" applyFill="1" applyBorder="1" applyAlignment="1">
      <alignment vertical="center" wrapText="1"/>
    </xf>
    <xf numFmtId="168" fontId="25" fillId="0" borderId="0" xfId="0" applyNumberFormat="1" applyFont="1"/>
    <xf numFmtId="170" fontId="34" fillId="33" borderId="21" xfId="0" applyNumberFormat="1" applyFont="1" applyFill="1" applyBorder="1" applyAlignment="1">
      <alignment vertical="center"/>
    </xf>
    <xf numFmtId="0" fontId="34" fillId="0" borderId="0" xfId="0" applyFont="1" applyBorder="1" applyAlignment="1">
      <alignment vertical="center"/>
    </xf>
    <xf numFmtId="0" fontId="34" fillId="0" borderId="0" xfId="0" applyFont="1" applyBorder="1"/>
    <xf numFmtId="169" fontId="34" fillId="27" borderId="30" xfId="153" applyNumberFormat="1" applyFont="1" applyFill="1" applyBorder="1" applyAlignment="1">
      <alignment vertical="center"/>
    </xf>
    <xf numFmtId="0" fontId="34" fillId="41" borderId="0" xfId="0" applyFont="1" applyFill="1" applyBorder="1"/>
    <xf numFmtId="0" fontId="25" fillId="35" borderId="21" xfId="0" applyFont="1" applyFill="1" applyBorder="1" applyAlignment="1">
      <alignment vertical="center"/>
    </xf>
    <xf numFmtId="168" fontId="34" fillId="38" borderId="21" xfId="0" applyNumberFormat="1" applyFont="1" applyFill="1" applyBorder="1" applyAlignment="1">
      <alignment vertical="center"/>
    </xf>
    <xf numFmtId="170" fontId="25" fillId="35" borderId="21" xfId="118" applyNumberFormat="1" applyFont="1" applyFill="1" applyBorder="1" applyAlignment="1">
      <alignment vertical="center"/>
    </xf>
    <xf numFmtId="3" fontId="34" fillId="38" borderId="21" xfId="0" applyNumberFormat="1" applyFont="1" applyFill="1" applyBorder="1" applyAlignment="1">
      <alignment vertical="center"/>
    </xf>
    <xf numFmtId="169" fontId="25" fillId="0" borderId="0" xfId="153" applyNumberFormat="1" applyFont="1" applyAlignment="1">
      <alignment vertical="center"/>
    </xf>
    <xf numFmtId="3" fontId="25" fillId="0" borderId="21" xfId="0" applyNumberFormat="1" applyFont="1" applyBorder="1" applyAlignment="1">
      <alignment vertical="center"/>
    </xf>
    <xf numFmtId="168" fontId="25" fillId="0" borderId="0" xfId="0" applyNumberFormat="1" applyFont="1" applyAlignment="1">
      <alignment vertical="center"/>
    </xf>
    <xf numFmtId="0" fontId="25" fillId="0" borderId="21" xfId="0" applyFont="1" applyBorder="1"/>
    <xf numFmtId="0" fontId="34" fillId="25" borderId="21" xfId="167" applyFont="1" applyFill="1" applyBorder="1" applyAlignment="1">
      <alignment wrapText="1"/>
    </xf>
    <xf numFmtId="169" fontId="25" fillId="0" borderId="21" xfId="153" applyNumberFormat="1" applyFont="1" applyFill="1" applyBorder="1" applyAlignment="1"/>
    <xf numFmtId="0" fontId="25" fillId="0" borderId="21" xfId="0" applyFont="1" applyBorder="1" applyAlignment="1">
      <alignment wrapText="1"/>
    </xf>
    <xf numFmtId="0" fontId="34" fillId="31" borderId="21" xfId="167" applyFont="1" applyFill="1" applyBorder="1" applyAlignment="1">
      <alignment horizontal="left" wrapText="1"/>
    </xf>
    <xf numFmtId="168" fontId="34" fillId="31" borderId="21" xfId="85" applyNumberFormat="1" applyFont="1" applyFill="1" applyBorder="1" applyAlignment="1">
      <alignment horizontal="right"/>
    </xf>
    <xf numFmtId="170" fontId="41" fillId="34" borderId="21" xfId="0" applyNumberFormat="1" applyFont="1" applyFill="1" applyBorder="1" applyAlignment="1">
      <alignment vertical="center"/>
    </xf>
    <xf numFmtId="170" fontId="41" fillId="35" borderId="21" xfId="0" applyNumberFormat="1" applyFont="1" applyFill="1" applyBorder="1" applyAlignment="1">
      <alignment vertical="center"/>
    </xf>
    <xf numFmtId="0" fontId="25" fillId="40" borderId="21" xfId="167" applyFont="1" applyFill="1" applyBorder="1" applyAlignment="1">
      <alignment horizontal="left" vertical="center" wrapText="1"/>
    </xf>
    <xf numFmtId="168" fontId="25" fillId="40" borderId="21" xfId="85" applyNumberFormat="1" applyFont="1" applyFill="1" applyBorder="1" applyAlignment="1">
      <alignment vertical="center"/>
    </xf>
    <xf numFmtId="168" fontId="25" fillId="30" borderId="21" xfId="167" applyNumberFormat="1" applyFont="1" applyFill="1" applyBorder="1" applyAlignment="1">
      <alignment horizontal="center" vertical="center" wrapText="1"/>
    </xf>
    <xf numFmtId="169" fontId="34" fillId="38" borderId="21" xfId="153" applyNumberFormat="1" applyFont="1" applyFill="1" applyBorder="1" applyAlignment="1">
      <alignment vertical="center"/>
    </xf>
    <xf numFmtId="169" fontId="34" fillId="34" borderId="21" xfId="0" applyNumberFormat="1" applyFont="1" applyFill="1" applyBorder="1" applyAlignment="1">
      <alignment vertical="center"/>
    </xf>
    <xf numFmtId="0" fontId="25" fillId="0" borderId="0" xfId="167" applyFont="1" applyAlignment="1">
      <alignment vertical="center" wrapText="1"/>
    </xf>
    <xf numFmtId="169" fontId="25" fillId="33" borderId="21" xfId="153" applyNumberFormat="1" applyFont="1" applyFill="1" applyBorder="1" applyAlignment="1">
      <alignment vertical="center" wrapText="1"/>
    </xf>
    <xf numFmtId="170" fontId="25" fillId="34" borderId="11" xfId="118" applyNumberFormat="1" applyFont="1" applyFill="1" applyBorder="1" applyAlignment="1">
      <alignment vertical="center" wrapText="1"/>
    </xf>
    <xf numFmtId="170" fontId="25" fillId="34" borderId="21" xfId="118" applyNumberFormat="1" applyFont="1" applyFill="1" applyBorder="1" applyAlignment="1">
      <alignment vertical="center" wrapText="1"/>
    </xf>
    <xf numFmtId="170" fontId="25" fillId="34" borderId="29" xfId="118" applyNumberFormat="1" applyFont="1" applyFill="1" applyBorder="1" applyAlignment="1">
      <alignment vertical="center" wrapText="1"/>
    </xf>
    <xf numFmtId="170" fontId="25" fillId="33" borderId="21" xfId="118" applyNumberFormat="1" applyFont="1" applyFill="1" applyBorder="1" applyAlignment="1">
      <alignment vertical="center" wrapText="1"/>
    </xf>
    <xf numFmtId="0" fontId="34" fillId="38" borderId="21" xfId="0" applyFont="1" applyFill="1" applyBorder="1" applyAlignment="1">
      <alignment vertical="center" wrapText="1"/>
    </xf>
    <xf numFmtId="169" fontId="34" fillId="38" borderId="21" xfId="0" applyNumberFormat="1" applyFont="1" applyFill="1" applyBorder="1" applyAlignment="1">
      <alignment vertical="center" wrapText="1"/>
    </xf>
    <xf numFmtId="169" fontId="25" fillId="0" borderId="0" xfId="153" applyNumberFormat="1" applyFont="1" applyAlignment="1">
      <alignment vertical="center" wrapText="1"/>
    </xf>
    <xf numFmtId="170" fontId="25" fillId="34" borderId="21" xfId="0" applyNumberFormat="1" applyFont="1" applyFill="1" applyBorder="1" applyAlignment="1">
      <alignment vertical="center" wrapText="1"/>
    </xf>
    <xf numFmtId="168" fontId="25" fillId="0" borderId="0" xfId="0" applyNumberFormat="1" applyFont="1" applyAlignment="1">
      <alignment vertical="center" wrapText="1"/>
    </xf>
    <xf numFmtId="169" fontId="25" fillId="34" borderId="21" xfId="0" applyNumberFormat="1" applyFont="1" applyFill="1" applyBorder="1" applyAlignment="1">
      <alignment vertical="center" wrapText="1"/>
    </xf>
    <xf numFmtId="0" fontId="34" fillId="0" borderId="21" xfId="0" applyFont="1" applyBorder="1" applyAlignment="1">
      <alignment vertical="center" wrapText="1"/>
    </xf>
    <xf numFmtId="170" fontId="34" fillId="34" borderId="21" xfId="0" applyNumberFormat="1" applyFont="1" applyFill="1" applyBorder="1" applyAlignment="1">
      <alignment vertical="center" wrapText="1"/>
    </xf>
    <xf numFmtId="170" fontId="34" fillId="35" borderId="21" xfId="0" applyNumberFormat="1" applyFont="1" applyFill="1" applyBorder="1" applyAlignment="1">
      <alignment vertical="center" wrapText="1"/>
    </xf>
    <xf numFmtId="0" fontId="34" fillId="0" borderId="0" xfId="0" applyFont="1" applyAlignment="1">
      <alignment vertical="center" wrapText="1"/>
    </xf>
    <xf numFmtId="164" fontId="25" fillId="0" borderId="21" xfId="0" applyNumberFormat="1" applyFont="1" applyBorder="1" applyAlignment="1">
      <alignment vertical="center" wrapText="1"/>
    </xf>
    <xf numFmtId="170" fontId="34" fillId="39" borderId="21" xfId="0" applyNumberFormat="1" applyFont="1" applyFill="1" applyBorder="1" applyAlignment="1">
      <alignment vertical="center" wrapText="1"/>
    </xf>
    <xf numFmtId="165" fontId="34" fillId="25" borderId="21" xfId="167" applyNumberFormat="1" applyFont="1" applyFill="1" applyBorder="1" applyAlignment="1">
      <alignment horizontal="center" vertical="center" wrapText="1"/>
    </xf>
    <xf numFmtId="169" fontId="25" fillId="0" borderId="21" xfId="153" applyNumberFormat="1" applyFont="1" applyFill="1" applyBorder="1" applyAlignment="1">
      <alignment vertical="center" wrapText="1"/>
    </xf>
    <xf numFmtId="0" fontId="25" fillId="29" borderId="21" xfId="167" applyFont="1" applyFill="1" applyBorder="1" applyAlignment="1">
      <alignment horizontal="center" vertical="center" wrapText="1"/>
    </xf>
    <xf numFmtId="170" fontId="25" fillId="29" borderId="21" xfId="118" applyNumberFormat="1" applyFont="1" applyFill="1" applyBorder="1" applyAlignment="1">
      <alignment vertical="center" wrapText="1"/>
    </xf>
    <xf numFmtId="170" fontId="34" fillId="39" borderId="21" xfId="0" applyNumberFormat="1" applyFont="1" applyFill="1" applyBorder="1" applyAlignment="1">
      <alignment vertical="center"/>
    </xf>
    <xf numFmtId="0" fontId="25" fillId="34" borderId="11" xfId="0" applyFont="1" applyFill="1" applyBorder="1" applyAlignment="1">
      <alignment vertical="center" wrapText="1"/>
    </xf>
    <xf numFmtId="0" fontId="34" fillId="39" borderId="21" xfId="0" applyFont="1" applyFill="1" applyBorder="1" applyAlignment="1">
      <alignment horizontal="center" vertical="center"/>
    </xf>
    <xf numFmtId="170" fontId="25" fillId="0" borderId="0" xfId="0" applyNumberFormat="1" applyFont="1" applyFill="1" applyBorder="1" applyAlignment="1">
      <alignment vertical="center"/>
    </xf>
    <xf numFmtId="169" fontId="25" fillId="0" borderId="0" xfId="0" applyNumberFormat="1" applyFont="1" applyFill="1" applyBorder="1" applyAlignment="1">
      <alignment vertical="center"/>
    </xf>
    <xf numFmtId="170" fontId="34" fillId="0" borderId="0" xfId="0" applyNumberFormat="1" applyFont="1" applyFill="1" applyBorder="1" applyAlignment="1">
      <alignment vertical="center"/>
    </xf>
    <xf numFmtId="170" fontId="34" fillId="38" borderId="21" xfId="0" applyNumberFormat="1" applyFont="1" applyFill="1" applyBorder="1" applyAlignment="1">
      <alignment vertical="center"/>
    </xf>
    <xf numFmtId="3" fontId="25" fillId="33" borderId="21" xfId="0" applyNumberFormat="1" applyFont="1" applyFill="1" applyBorder="1" applyAlignment="1">
      <alignment vertical="center" wrapText="1"/>
    </xf>
    <xf numFmtId="169" fontId="41" fillId="35" borderId="21" xfId="0" applyNumberFormat="1" applyFont="1" applyFill="1" applyBorder="1" applyAlignment="1">
      <alignment vertical="center"/>
    </xf>
    <xf numFmtId="170" fontId="41" fillId="33" borderId="21" xfId="0" applyNumberFormat="1" applyFont="1" applyFill="1" applyBorder="1" applyAlignment="1">
      <alignment vertical="center"/>
    </xf>
    <xf numFmtId="170" fontId="25" fillId="0" borderId="0" xfId="0" applyNumberFormat="1" applyFont="1" applyAlignment="1">
      <alignment vertical="center"/>
    </xf>
    <xf numFmtId="0" fontId="34" fillId="42" borderId="21" xfId="0" applyFont="1" applyFill="1" applyBorder="1" applyAlignment="1">
      <alignment vertical="center"/>
    </xf>
    <xf numFmtId="170" fontId="34" fillId="42" borderId="21" xfId="0" applyNumberFormat="1" applyFont="1" applyFill="1" applyBorder="1" applyAlignment="1">
      <alignment vertical="center"/>
    </xf>
    <xf numFmtId="169" fontId="34" fillId="27" borderId="30" xfId="0" applyNumberFormat="1" applyFont="1" applyFill="1" applyBorder="1" applyAlignment="1">
      <alignment horizontal="center" vertical="center"/>
    </xf>
    <xf numFmtId="168" fontId="25" fillId="30" borderId="29" xfId="167" applyNumberFormat="1" applyFont="1" applyFill="1" applyBorder="1" applyAlignment="1">
      <alignment vertical="center" wrapText="1"/>
    </xf>
    <xf numFmtId="0" fontId="25" fillId="0" borderId="0" xfId="161" applyFont="1"/>
    <xf numFmtId="0" fontId="25" fillId="0" borderId="0" xfId="161" applyFont="1" applyBorder="1"/>
    <xf numFmtId="0" fontId="34" fillId="27" borderId="31" xfId="161" applyFont="1" applyFill="1" applyBorder="1" applyAlignment="1">
      <alignment horizontal="center" vertical="center"/>
    </xf>
    <xf numFmtId="0" fontId="34" fillId="27" borderId="21" xfId="161" applyFont="1" applyFill="1" applyBorder="1" applyAlignment="1">
      <alignment horizontal="center" vertical="center"/>
    </xf>
    <xf numFmtId="0" fontId="34" fillId="27" borderId="22" xfId="161" applyFont="1" applyFill="1" applyBorder="1" applyAlignment="1">
      <alignment horizontal="center" vertical="center"/>
    </xf>
    <xf numFmtId="0" fontId="34" fillId="27" borderId="32" xfId="161" applyFont="1" applyFill="1" applyBorder="1" applyAlignment="1">
      <alignment horizontal="center" vertical="center"/>
    </xf>
    <xf numFmtId="0" fontId="42" fillId="27" borderId="31" xfId="161" applyFont="1" applyFill="1" applyBorder="1" applyAlignment="1">
      <alignment horizontal="center" vertical="center"/>
    </xf>
    <xf numFmtId="0" fontId="42" fillId="27" borderId="32" xfId="161" applyFont="1" applyFill="1" applyBorder="1" applyAlignment="1">
      <alignment horizontal="center" vertical="center"/>
    </xf>
    <xf numFmtId="0" fontId="43" fillId="43" borderId="22" xfId="161" applyFont="1" applyFill="1" applyBorder="1" applyAlignment="1">
      <alignment vertical="center"/>
    </xf>
    <xf numFmtId="169" fontId="43" fillId="43" borderId="31" xfId="161" applyNumberFormat="1" applyFont="1" applyFill="1" applyBorder="1" applyAlignment="1">
      <alignment horizontal="right" vertical="center"/>
    </xf>
    <xf numFmtId="169" fontId="43" fillId="43" borderId="21" xfId="161" applyNumberFormat="1" applyFont="1" applyFill="1" applyBorder="1" applyAlignment="1">
      <alignment horizontal="right" vertical="center"/>
    </xf>
    <xf numFmtId="169" fontId="43" fillId="43" borderId="32" xfId="161" applyNumberFormat="1" applyFont="1" applyFill="1" applyBorder="1" applyAlignment="1">
      <alignment horizontal="right" vertical="center"/>
    </xf>
    <xf numFmtId="169" fontId="43" fillId="43" borderId="31" xfId="161" applyNumberFormat="1" applyFont="1" applyFill="1" applyBorder="1" applyAlignment="1">
      <alignment vertical="center"/>
    </xf>
    <xf numFmtId="169" fontId="42" fillId="43" borderId="31" xfId="161" applyNumberFormat="1" applyFont="1" applyFill="1" applyBorder="1" applyAlignment="1">
      <alignment vertical="center"/>
    </xf>
    <xf numFmtId="0" fontId="34" fillId="26" borderId="22" xfId="161" applyFont="1" applyFill="1" applyBorder="1" applyAlignment="1">
      <alignment vertical="center"/>
    </xf>
    <xf numFmtId="169" fontId="34" fillId="26" borderId="31" xfId="104" applyNumberFormat="1" applyFont="1" applyFill="1" applyBorder="1" applyAlignment="1">
      <alignment horizontal="right" vertical="center"/>
    </xf>
    <xf numFmtId="169" fontId="34" fillId="26" borderId="21" xfId="104" applyNumberFormat="1" applyFont="1" applyFill="1" applyBorder="1" applyAlignment="1">
      <alignment horizontal="right" vertical="center"/>
    </xf>
    <xf numFmtId="169" fontId="34" fillId="26" borderId="32" xfId="104" applyNumberFormat="1" applyFont="1" applyFill="1" applyBorder="1" applyAlignment="1">
      <alignment horizontal="right" vertical="center"/>
    </xf>
    <xf numFmtId="169" fontId="34" fillId="26" borderId="21" xfId="104" applyNumberFormat="1" applyFont="1" applyFill="1" applyBorder="1" applyAlignment="1">
      <alignment horizontal="center" vertical="center"/>
    </xf>
    <xf numFmtId="169" fontId="42" fillId="26" borderId="31" xfId="104" applyNumberFormat="1" applyFont="1" applyFill="1" applyBorder="1" applyAlignment="1">
      <alignment horizontal="right" vertical="center"/>
    </xf>
    <xf numFmtId="169" fontId="34" fillId="26" borderId="28" xfId="104" applyNumberFormat="1" applyFont="1" applyFill="1" applyBorder="1" applyAlignment="1">
      <alignment horizontal="right" vertical="center"/>
    </xf>
    <xf numFmtId="169" fontId="34" fillId="0" borderId="32" xfId="104" applyNumberFormat="1" applyFont="1" applyFill="1" applyBorder="1" applyAlignment="1">
      <alignment horizontal="right" vertical="center"/>
    </xf>
    <xf numFmtId="169" fontId="43" fillId="43" borderId="31" xfId="104" applyNumberFormat="1" applyFont="1" applyFill="1" applyBorder="1" applyAlignment="1">
      <alignment vertical="center"/>
    </xf>
    <xf numFmtId="169" fontId="43" fillId="43" borderId="21" xfId="104" applyNumberFormat="1" applyFont="1" applyFill="1" applyBorder="1" applyAlignment="1">
      <alignment vertical="center"/>
    </xf>
    <xf numFmtId="169" fontId="43" fillId="43" borderId="32" xfId="104" applyNumberFormat="1" applyFont="1" applyFill="1" applyBorder="1" applyAlignment="1">
      <alignment vertical="center"/>
    </xf>
    <xf numFmtId="169" fontId="42" fillId="43" borderId="31" xfId="104" applyNumberFormat="1" applyFont="1" applyFill="1" applyBorder="1" applyAlignment="1">
      <alignment vertical="center"/>
    </xf>
    <xf numFmtId="169" fontId="44" fillId="0" borderId="31" xfId="104" applyNumberFormat="1" applyFont="1" applyFill="1" applyBorder="1" applyAlignment="1">
      <alignment vertical="center"/>
    </xf>
    <xf numFmtId="169" fontId="44" fillId="0" borderId="21" xfId="104" applyNumberFormat="1" applyFont="1" applyFill="1" applyBorder="1" applyAlignment="1">
      <alignment vertical="center"/>
    </xf>
    <xf numFmtId="169" fontId="44" fillId="0" borderId="32" xfId="104" applyNumberFormat="1" applyFont="1" applyFill="1" applyBorder="1" applyAlignment="1">
      <alignment vertical="center"/>
    </xf>
    <xf numFmtId="0" fontId="34" fillId="35" borderId="22" xfId="161" applyFont="1" applyFill="1" applyBorder="1" applyAlignment="1">
      <alignment vertical="center"/>
    </xf>
    <xf numFmtId="169" fontId="34" fillId="35" borderId="31" xfId="104" applyNumberFormat="1" applyFont="1" applyFill="1" applyBorder="1" applyAlignment="1">
      <alignment vertical="center"/>
    </xf>
    <xf numFmtId="169" fontId="34" fillId="35" borderId="21" xfId="104" applyNumberFormat="1" applyFont="1" applyFill="1" applyBorder="1" applyAlignment="1">
      <alignment vertical="center"/>
    </xf>
    <xf numFmtId="169" fontId="34" fillId="35" borderId="32" xfId="104" applyNumberFormat="1" applyFont="1" applyFill="1" applyBorder="1" applyAlignment="1">
      <alignment vertical="center"/>
    </xf>
    <xf numFmtId="169" fontId="42" fillId="35" borderId="31" xfId="104" applyNumberFormat="1" applyFont="1" applyFill="1" applyBorder="1" applyAlignment="1">
      <alignment vertical="center"/>
    </xf>
    <xf numFmtId="169" fontId="34" fillId="35" borderId="32" xfId="104" applyNumberFormat="1" applyFont="1" applyFill="1" applyBorder="1" applyAlignment="1">
      <alignment horizontal="right" vertical="center"/>
    </xf>
    <xf numFmtId="0" fontId="25" fillId="0" borderId="22" xfId="161" applyFont="1" applyBorder="1" applyAlignment="1">
      <alignment vertical="center"/>
    </xf>
    <xf numFmtId="169" fontId="25" fillId="0" borderId="31" xfId="104" applyNumberFormat="1" applyFont="1" applyBorder="1" applyAlignment="1">
      <alignment vertical="center"/>
    </xf>
    <xf numFmtId="169" fontId="25" fillId="0" borderId="21" xfId="104" applyNumberFormat="1" applyFont="1" applyBorder="1" applyAlignment="1">
      <alignment vertical="center"/>
    </xf>
    <xf numFmtId="169" fontId="25" fillId="0" borderId="32" xfId="104" applyNumberFormat="1" applyFont="1" applyBorder="1" applyAlignment="1">
      <alignment vertical="center"/>
    </xf>
    <xf numFmtId="169" fontId="45" fillId="0" borderId="31" xfId="104" applyNumberFormat="1" applyFont="1" applyBorder="1" applyAlignment="1">
      <alignment vertical="center"/>
    </xf>
    <xf numFmtId="169" fontId="46" fillId="35" borderId="32" xfId="104" applyNumberFormat="1" applyFont="1" applyFill="1" applyBorder="1" applyAlignment="1">
      <alignment vertical="center"/>
    </xf>
    <xf numFmtId="169" fontId="46" fillId="35" borderId="31" xfId="104" applyNumberFormat="1" applyFont="1" applyFill="1" applyBorder="1" applyAlignment="1">
      <alignment vertical="center"/>
    </xf>
    <xf numFmtId="0" fontId="25" fillId="0" borderId="0" xfId="161" applyFont="1" applyAlignment="1">
      <alignment vertical="center"/>
    </xf>
    <xf numFmtId="0" fontId="25" fillId="0" borderId="22" xfId="161" applyFont="1" applyBorder="1" applyAlignment="1">
      <alignment horizontal="right" vertical="center"/>
    </xf>
    <xf numFmtId="169" fontId="25" fillId="0" borderId="31" xfId="161" applyNumberFormat="1" applyFont="1" applyBorder="1" applyAlignment="1">
      <alignment vertical="center"/>
    </xf>
    <xf numFmtId="169" fontId="25" fillId="0" borderId="21" xfId="161" applyNumberFormat="1" applyFont="1" applyBorder="1" applyAlignment="1">
      <alignment vertical="center"/>
    </xf>
    <xf numFmtId="169" fontId="25" fillId="0" borderId="32" xfId="161" applyNumberFormat="1" applyFont="1" applyBorder="1" applyAlignment="1">
      <alignment vertical="center"/>
    </xf>
    <xf numFmtId="169" fontId="45" fillId="0" borderId="31" xfId="161" applyNumberFormat="1" applyFont="1" applyBorder="1" applyAlignment="1">
      <alignment vertical="center"/>
    </xf>
    <xf numFmtId="169" fontId="25" fillId="0" borderId="28" xfId="104" applyNumberFormat="1" applyFont="1" applyFill="1" applyBorder="1" applyAlignment="1">
      <alignment horizontal="right" vertical="center"/>
    </xf>
    <xf numFmtId="169" fontId="34" fillId="26" borderId="31" xfId="161" applyNumberFormat="1" applyFont="1" applyFill="1" applyBorder="1" applyAlignment="1">
      <alignment vertical="center"/>
    </xf>
    <xf numFmtId="169" fontId="34" fillId="26" borderId="21" xfId="161" applyNumberFormat="1" applyFont="1" applyFill="1" applyBorder="1" applyAlignment="1">
      <alignment vertical="center"/>
    </xf>
    <xf numFmtId="169" fontId="34" fillId="26" borderId="32" xfId="161" applyNumberFormat="1" applyFont="1" applyFill="1" applyBorder="1" applyAlignment="1">
      <alignment vertical="center"/>
    </xf>
    <xf numFmtId="169" fontId="42" fillId="26" borderId="21" xfId="161" applyNumberFormat="1" applyFont="1" applyFill="1" applyBorder="1" applyAlignment="1">
      <alignment vertical="center"/>
    </xf>
    <xf numFmtId="0" fontId="25" fillId="41" borderId="22" xfId="161" applyFont="1" applyFill="1" applyBorder="1" applyAlignment="1">
      <alignment horizontal="right" vertical="center"/>
    </xf>
    <xf numFmtId="169" fontId="25" fillId="0" borderId="21" xfId="161" applyNumberFormat="1" applyFont="1" applyFill="1" applyBorder="1" applyAlignment="1">
      <alignment vertical="center"/>
    </xf>
    <xf numFmtId="169" fontId="25" fillId="0" borderId="28" xfId="161" applyNumberFormat="1" applyFont="1" applyBorder="1" applyAlignment="1">
      <alignment vertical="center"/>
    </xf>
    <xf numFmtId="0" fontId="34" fillId="27" borderId="31" xfId="161" applyFont="1" applyFill="1" applyBorder="1" applyAlignment="1">
      <alignment horizontal="center"/>
    </xf>
    <xf numFmtId="0" fontId="34" fillId="27" borderId="21" xfId="161" applyFont="1" applyFill="1" applyBorder="1" applyAlignment="1">
      <alignment horizontal="center"/>
    </xf>
    <xf numFmtId="0" fontId="34" fillId="27" borderId="32" xfId="161" applyFont="1" applyFill="1" applyBorder="1" applyAlignment="1">
      <alignment horizontal="center"/>
    </xf>
    <xf numFmtId="0" fontId="43" fillId="43" borderId="22" xfId="161" applyFont="1" applyFill="1" applyBorder="1"/>
    <xf numFmtId="169" fontId="43" fillId="43" borderId="31" xfId="161" applyNumberFormat="1" applyFont="1" applyFill="1" applyBorder="1" applyAlignment="1">
      <alignment horizontal="right"/>
    </xf>
    <xf numFmtId="169" fontId="43" fillId="43" borderId="21" xfId="161" applyNumberFormat="1" applyFont="1" applyFill="1" applyBorder="1" applyAlignment="1">
      <alignment horizontal="right"/>
    </xf>
    <xf numFmtId="169" fontId="43" fillId="43" borderId="32" xfId="161" applyNumberFormat="1" applyFont="1" applyFill="1" applyBorder="1" applyAlignment="1">
      <alignment horizontal="right"/>
    </xf>
    <xf numFmtId="169" fontId="43" fillId="43" borderId="31" xfId="161" applyNumberFormat="1" applyFont="1" applyFill="1" applyBorder="1" applyAlignment="1">
      <alignment vertical="top"/>
    </xf>
    <xf numFmtId="169" fontId="43" fillId="43" borderId="21" xfId="161" applyNumberFormat="1" applyFont="1" applyFill="1" applyBorder="1" applyAlignment="1">
      <alignment vertical="top"/>
    </xf>
    <xf numFmtId="169" fontId="43" fillId="43" borderId="32" xfId="161" applyNumberFormat="1" applyFont="1" applyFill="1" applyBorder="1" applyAlignment="1">
      <alignment vertical="top"/>
    </xf>
    <xf numFmtId="169" fontId="43" fillId="43" borderId="28" xfId="161" applyNumberFormat="1" applyFont="1" applyFill="1" applyBorder="1" applyAlignment="1">
      <alignment vertical="top"/>
    </xf>
    <xf numFmtId="0" fontId="34" fillId="0" borderId="22" xfId="161" applyFont="1" applyFill="1" applyBorder="1"/>
    <xf numFmtId="169" fontId="34" fillId="0" borderId="31" xfId="153" applyNumberFormat="1" applyFont="1" applyFill="1" applyBorder="1" applyAlignment="1">
      <alignment horizontal="right"/>
    </xf>
    <xf numFmtId="169" fontId="34" fillId="0" borderId="21" xfId="153" applyNumberFormat="1" applyFont="1" applyFill="1" applyBorder="1" applyAlignment="1">
      <alignment horizontal="right"/>
    </xf>
    <xf numFmtId="169" fontId="34" fillId="0" borderId="32" xfId="153" applyNumberFormat="1" applyFont="1" applyFill="1" applyBorder="1" applyAlignment="1">
      <alignment horizontal="right"/>
    </xf>
    <xf numFmtId="169" fontId="34" fillId="0" borderId="28" xfId="153" applyNumberFormat="1" applyFont="1" applyFill="1" applyBorder="1" applyAlignment="1">
      <alignment horizontal="right"/>
    </xf>
    <xf numFmtId="0" fontId="47" fillId="0" borderId="22" xfId="161" applyFont="1" applyBorder="1" applyAlignment="1">
      <alignment horizontal="right"/>
    </xf>
    <xf numFmtId="169" fontId="47" fillId="0" borderId="31" xfId="161" applyNumberFormat="1" applyFont="1" applyBorder="1"/>
    <xf numFmtId="169" fontId="47" fillId="0" borderId="21" xfId="161" applyNumberFormat="1" applyFont="1" applyBorder="1"/>
    <xf numFmtId="169" fontId="47" fillId="0" borderId="32" xfId="161" applyNumberFormat="1" applyFont="1" applyBorder="1"/>
    <xf numFmtId="169" fontId="47" fillId="0" borderId="31" xfId="161" applyNumberFormat="1" applyFont="1" applyBorder="1" applyAlignment="1"/>
    <xf numFmtId="169" fontId="47" fillId="0" borderId="21" xfId="161" applyNumberFormat="1" applyFont="1" applyBorder="1" applyAlignment="1"/>
    <xf numFmtId="169" fontId="47" fillId="0" borderId="32" xfId="161" applyNumberFormat="1" applyFont="1" applyBorder="1" applyAlignment="1">
      <alignment vertical="top"/>
    </xf>
    <xf numFmtId="169" fontId="47" fillId="0" borderId="28" xfId="153" applyNumberFormat="1" applyFont="1" applyFill="1" applyBorder="1" applyAlignment="1">
      <alignment horizontal="right"/>
    </xf>
    <xf numFmtId="0" fontId="34" fillId="0" borderId="22" xfId="161" applyFont="1" applyBorder="1"/>
    <xf numFmtId="169" fontId="48" fillId="0" borderId="31" xfId="161" applyNumberFormat="1" applyFont="1" applyBorder="1"/>
    <xf numFmtId="169" fontId="48" fillId="0" borderId="21" xfId="161" applyNumberFormat="1" applyFont="1" applyBorder="1"/>
    <xf numFmtId="169" fontId="48" fillId="0" borderId="32" xfId="161" applyNumberFormat="1" applyFont="1" applyBorder="1"/>
    <xf numFmtId="169" fontId="48" fillId="0" borderId="31" xfId="161" applyNumberFormat="1" applyFont="1" applyBorder="1" applyAlignment="1"/>
    <xf numFmtId="169" fontId="48" fillId="0" borderId="21" xfId="161" applyNumberFormat="1" applyFont="1" applyBorder="1" applyAlignment="1"/>
    <xf numFmtId="169" fontId="47" fillId="0" borderId="21" xfId="161" applyNumberFormat="1" applyFont="1" applyFill="1" applyBorder="1"/>
    <xf numFmtId="169" fontId="47" fillId="0" borderId="32" xfId="161" applyNumberFormat="1" applyFont="1" applyBorder="1" applyAlignment="1"/>
    <xf numFmtId="0" fontId="43" fillId="43" borderId="22" xfId="161" applyFont="1" applyFill="1" applyBorder="1" applyAlignment="1"/>
    <xf numFmtId="169" fontId="43" fillId="43" borderId="31" xfId="104" applyNumberFormat="1" applyFont="1" applyFill="1" applyBorder="1" applyAlignment="1"/>
    <xf numFmtId="169" fontId="43" fillId="43" borderId="21" xfId="104" applyNumberFormat="1" applyFont="1" applyFill="1" applyBorder="1" applyAlignment="1"/>
    <xf numFmtId="169" fontId="43" fillId="43" borderId="32" xfId="104" applyNumberFormat="1" applyFont="1" applyFill="1" applyBorder="1" applyAlignment="1"/>
    <xf numFmtId="169" fontId="43" fillId="43" borderId="31" xfId="153" applyNumberFormat="1" applyFont="1" applyFill="1" applyBorder="1" applyAlignment="1"/>
    <xf numFmtId="169" fontId="43" fillId="43" borderId="21" xfId="153" applyNumberFormat="1" applyFont="1" applyFill="1" applyBorder="1" applyAlignment="1"/>
    <xf numFmtId="169" fontId="43" fillId="43" borderId="32" xfId="153" applyNumberFormat="1" applyFont="1" applyFill="1" applyBorder="1" applyAlignment="1"/>
    <xf numFmtId="169" fontId="43" fillId="43" borderId="28" xfId="161" applyNumberFormat="1" applyFont="1" applyFill="1" applyBorder="1" applyAlignment="1"/>
    <xf numFmtId="169" fontId="44" fillId="0" borderId="31" xfId="104" applyNumberFormat="1" applyFont="1" applyFill="1" applyBorder="1"/>
    <xf numFmtId="169" fontId="44" fillId="0" borderId="21" xfId="104" applyNumberFormat="1" applyFont="1" applyFill="1" applyBorder="1"/>
    <xf numFmtId="169" fontId="44" fillId="0" borderId="32" xfId="104" applyNumberFormat="1" applyFont="1" applyFill="1" applyBorder="1"/>
    <xf numFmtId="169" fontId="47" fillId="0" borderId="31" xfId="153" applyNumberFormat="1" applyFont="1" applyBorder="1" applyAlignment="1"/>
    <xf numFmtId="169" fontId="47" fillId="0" borderId="21" xfId="153" applyNumberFormat="1" applyFont="1" applyBorder="1" applyAlignment="1"/>
    <xf numFmtId="169" fontId="47" fillId="0" borderId="32" xfId="153" applyNumberFormat="1" applyFont="1" applyBorder="1" applyAlignment="1"/>
    <xf numFmtId="169" fontId="47" fillId="0" borderId="28" xfId="161" applyNumberFormat="1" applyFont="1" applyBorder="1" applyAlignment="1"/>
    <xf numFmtId="169" fontId="34" fillId="0" borderId="31" xfId="104" applyNumberFormat="1" applyFont="1" applyBorder="1"/>
    <xf numFmtId="169" fontId="34" fillId="0" borderId="21" xfId="104" applyNumberFormat="1" applyFont="1" applyBorder="1"/>
    <xf numFmtId="169" fontId="34" fillId="0" borderId="32" xfId="104" applyNumberFormat="1" applyFont="1" applyBorder="1"/>
    <xf numFmtId="169" fontId="34" fillId="0" borderId="31" xfId="104" applyNumberFormat="1" applyFont="1" applyBorder="1" applyAlignment="1"/>
    <xf numFmtId="169" fontId="34" fillId="35" borderId="31" xfId="104" applyNumberFormat="1" applyFont="1" applyFill="1" applyBorder="1" applyAlignment="1"/>
    <xf numFmtId="169" fontId="34" fillId="0" borderId="33" xfId="104" applyNumberFormat="1" applyFont="1" applyBorder="1"/>
    <xf numFmtId="169" fontId="34" fillId="0" borderId="34" xfId="104" applyNumberFormat="1" applyFont="1" applyBorder="1"/>
    <xf numFmtId="169" fontId="34" fillId="0" borderId="28" xfId="104" applyNumberFormat="1" applyFont="1" applyBorder="1"/>
    <xf numFmtId="0" fontId="25" fillId="0" borderId="22" xfId="161" applyFont="1" applyBorder="1"/>
    <xf numFmtId="169" fontId="25" fillId="0" borderId="31" xfId="104" applyNumberFormat="1" applyFont="1" applyBorder="1"/>
    <xf numFmtId="169" fontId="25" fillId="0" borderId="21" xfId="104" applyNumberFormat="1" applyFont="1" applyBorder="1"/>
    <xf numFmtId="169" fontId="25" fillId="0" borderId="32" xfId="104" applyNumberFormat="1" applyFont="1" applyBorder="1"/>
    <xf numFmtId="169" fontId="25" fillId="0" borderId="28" xfId="104" applyNumberFormat="1" applyFont="1" applyBorder="1"/>
    <xf numFmtId="0" fontId="34" fillId="37" borderId="22" xfId="161" applyFont="1" applyFill="1" applyBorder="1"/>
    <xf numFmtId="169" fontId="34" fillId="37" borderId="31" xfId="104" applyNumberFormat="1" applyFont="1" applyFill="1" applyBorder="1"/>
    <xf numFmtId="169" fontId="34" fillId="37" borderId="21" xfId="104" applyNumberFormat="1" applyFont="1" applyFill="1" applyBorder="1"/>
    <xf numFmtId="169" fontId="46" fillId="37" borderId="32" xfId="104" applyNumberFormat="1" applyFont="1" applyFill="1" applyBorder="1"/>
    <xf numFmtId="169" fontId="46" fillId="37" borderId="31" xfId="104" applyNumberFormat="1" applyFont="1" applyFill="1" applyBorder="1"/>
    <xf numFmtId="169" fontId="25" fillId="0" borderId="0" xfId="104" applyNumberFormat="1" applyFont="1"/>
    <xf numFmtId="169" fontId="25" fillId="0" borderId="0" xfId="161" applyNumberFormat="1" applyFont="1"/>
    <xf numFmtId="3" fontId="25" fillId="0" borderId="0" xfId="161" applyNumberFormat="1" applyFont="1"/>
    <xf numFmtId="165" fontId="25" fillId="0" borderId="0" xfId="167" applyNumberFormat="1" applyFont="1"/>
    <xf numFmtId="168" fontId="25" fillId="0" borderId="0" xfId="167" applyNumberFormat="1" applyFont="1"/>
    <xf numFmtId="165" fontId="25" fillId="0" borderId="21" xfId="167" applyNumberFormat="1" applyFont="1" applyBorder="1"/>
    <xf numFmtId="169" fontId="25" fillId="0" borderId="21" xfId="0" applyNumberFormat="1" applyFont="1" applyFill="1" applyBorder="1" applyAlignment="1"/>
    <xf numFmtId="169" fontId="25" fillId="0" borderId="21" xfId="167" applyNumberFormat="1" applyFont="1" applyBorder="1"/>
    <xf numFmtId="168" fontId="34" fillId="31" borderId="21" xfId="167" applyNumberFormat="1" applyFont="1" applyFill="1" applyBorder="1" applyAlignment="1">
      <alignment wrapText="1"/>
    </xf>
    <xf numFmtId="169" fontId="34" fillId="31" borderId="21" xfId="167" applyNumberFormat="1" applyFont="1" applyFill="1" applyBorder="1" applyAlignment="1">
      <alignment wrapText="1"/>
    </xf>
    <xf numFmtId="0" fontId="25" fillId="0" borderId="21" xfId="167" applyFont="1" applyBorder="1" applyAlignment="1">
      <alignment wrapText="1"/>
    </xf>
    <xf numFmtId="169" fontId="25" fillId="0" borderId="21" xfId="153" applyNumberFormat="1" applyFont="1" applyBorder="1"/>
    <xf numFmtId="0" fontId="34" fillId="32" borderId="21" xfId="167" applyFont="1" applyFill="1" applyBorder="1" applyAlignment="1">
      <alignment wrapText="1"/>
    </xf>
    <xf numFmtId="169" fontId="34" fillId="32" borderId="21" xfId="153" applyNumberFormat="1" applyFont="1" applyFill="1" applyBorder="1"/>
    <xf numFmtId="0" fontId="25" fillId="0" borderId="0" xfId="167" applyFont="1" applyAlignment="1">
      <alignment wrapText="1"/>
    </xf>
    <xf numFmtId="169" fontId="25" fillId="0" borderId="0" xfId="167" applyNumberFormat="1" applyFont="1"/>
    <xf numFmtId="0" fontId="49" fillId="28" borderId="21" xfId="0" applyFont="1" applyFill="1" applyBorder="1" applyAlignment="1">
      <alignment vertical="center" wrapText="1"/>
    </xf>
    <xf numFmtId="0" fontId="49" fillId="28" borderId="21" xfId="0" applyFont="1" applyFill="1" applyBorder="1" applyAlignment="1">
      <alignment horizontal="center" vertical="center" wrapText="1"/>
    </xf>
    <xf numFmtId="169" fontId="40" fillId="0" borderId="21" xfId="0" applyNumberFormat="1" applyFont="1" applyBorder="1" applyAlignment="1">
      <alignment horizontal="right"/>
    </xf>
    <xf numFmtId="169" fontId="40" fillId="0" borderId="21" xfId="0" applyNumberFormat="1" applyFont="1" applyBorder="1" applyAlignment="1">
      <alignment horizontal="right" vertical="center"/>
    </xf>
    <xf numFmtId="0" fontId="40" fillId="0" borderId="21" xfId="0" applyFont="1" applyBorder="1" applyAlignment="1">
      <alignment vertical="center" wrapText="1"/>
    </xf>
    <xf numFmtId="169" fontId="49" fillId="35" borderId="21" xfId="0" applyNumberFormat="1" applyFont="1" applyFill="1" applyBorder="1" applyAlignment="1">
      <alignment horizontal="right" vertical="center"/>
    </xf>
    <xf numFmtId="169" fontId="49" fillId="28" borderId="21" xfId="0" applyNumberFormat="1" applyFont="1" applyFill="1" applyBorder="1" applyAlignment="1">
      <alignment horizontal="right" vertical="center"/>
    </xf>
    <xf numFmtId="169" fontId="34" fillId="35" borderId="21" xfId="0" applyNumberFormat="1" applyFont="1" applyFill="1" applyBorder="1" applyAlignment="1">
      <alignment vertical="center"/>
    </xf>
    <xf numFmtId="0" fontId="25" fillId="37" borderId="21" xfId="167" applyFont="1" applyFill="1" applyBorder="1" applyAlignment="1">
      <alignment horizontal="left" vertical="center" wrapText="1"/>
    </xf>
    <xf numFmtId="168" fontId="25" fillId="37" borderId="21" xfId="85" applyNumberFormat="1" applyFont="1" applyFill="1" applyBorder="1" applyAlignment="1">
      <alignment vertical="center"/>
    </xf>
    <xf numFmtId="0" fontId="46" fillId="41" borderId="21" xfId="0" applyFont="1" applyFill="1" applyBorder="1" applyAlignment="1">
      <alignment vertical="center"/>
    </xf>
    <xf numFmtId="170" fontId="46" fillId="0" borderId="21" xfId="0" applyNumberFormat="1" applyFont="1" applyBorder="1" applyAlignment="1">
      <alignment vertical="center"/>
    </xf>
    <xf numFmtId="170" fontId="46" fillId="0" borderId="21" xfId="0" applyNumberFormat="1" applyFont="1" applyBorder="1" applyAlignment="1">
      <alignment vertical="center" wrapText="1"/>
    </xf>
    <xf numFmtId="170" fontId="44" fillId="0" borderId="0" xfId="0" applyNumberFormat="1" applyFont="1" applyBorder="1" applyAlignment="1">
      <alignment vertical="center"/>
    </xf>
    <xf numFmtId="168" fontId="25" fillId="37" borderId="21" xfId="167" applyNumberFormat="1" applyFont="1" applyFill="1" applyBorder="1" applyAlignment="1">
      <alignment horizontal="left" vertical="center" wrapText="1"/>
    </xf>
    <xf numFmtId="168" fontId="25" fillId="37" borderId="21" xfId="167" applyNumberFormat="1" applyFont="1" applyFill="1" applyBorder="1" applyAlignment="1">
      <alignment vertical="center" wrapText="1"/>
    </xf>
    <xf numFmtId="168" fontId="25" fillId="37" borderId="21" xfId="167" applyNumberFormat="1" applyFont="1" applyFill="1" applyBorder="1" applyAlignment="1">
      <alignment horizontal="center" vertical="center" wrapText="1"/>
    </xf>
    <xf numFmtId="170" fontId="44" fillId="0" borderId="0" xfId="0" applyNumberFormat="1" applyFont="1" applyBorder="1" applyAlignment="1">
      <alignment horizontal="left" vertical="center"/>
    </xf>
    <xf numFmtId="49" fontId="25" fillId="35" borderId="21" xfId="0" applyNumberFormat="1" applyFont="1" applyFill="1" applyBorder="1" applyAlignment="1">
      <alignment vertical="center" wrapText="1"/>
    </xf>
    <xf numFmtId="168" fontId="25" fillId="0" borderId="21" xfId="0" applyNumberFormat="1" applyFont="1" applyBorder="1" applyAlignment="1">
      <alignment vertical="center"/>
    </xf>
    <xf numFmtId="0" fontId="25" fillId="0" borderId="0" xfId="0" applyFont="1" applyFill="1" applyAlignment="1">
      <alignment vertical="center"/>
    </xf>
    <xf numFmtId="170" fontId="25" fillId="40" borderId="21" xfId="0" applyNumberFormat="1" applyFont="1" applyFill="1" applyBorder="1" applyAlignment="1">
      <alignment vertical="center"/>
    </xf>
    <xf numFmtId="169" fontId="34" fillId="33" borderId="21" xfId="0" applyNumberFormat="1" applyFont="1" applyFill="1" applyBorder="1" applyAlignment="1">
      <alignment vertical="center"/>
    </xf>
    <xf numFmtId="169" fontId="34" fillId="27" borderId="30" xfId="0" applyNumberFormat="1" applyFont="1" applyFill="1" applyBorder="1" applyAlignment="1">
      <alignment vertical="center"/>
    </xf>
    <xf numFmtId="169" fontId="34" fillId="35" borderId="21" xfId="153" applyNumberFormat="1" applyFont="1" applyFill="1" applyBorder="1"/>
    <xf numFmtId="0" fontId="25" fillId="34" borderId="29" xfId="0" applyFont="1" applyFill="1" applyBorder="1" applyAlignment="1">
      <alignment horizontal="left" vertical="center" wrapText="1"/>
    </xf>
    <xf numFmtId="0" fontId="25" fillId="34" borderId="21" xfId="0" applyFont="1" applyFill="1" applyBorder="1" applyAlignment="1">
      <alignment horizontal="left" vertical="center" wrapText="1"/>
    </xf>
    <xf numFmtId="0" fontId="25" fillId="34" borderId="29" xfId="0" applyFont="1" applyFill="1" applyBorder="1" applyAlignment="1">
      <alignment vertical="center"/>
    </xf>
    <xf numFmtId="0" fontId="25" fillId="35" borderId="21" xfId="0" applyFont="1" applyFill="1" applyBorder="1" applyAlignment="1">
      <alignment horizontal="left" vertical="center" wrapText="1"/>
    </xf>
    <xf numFmtId="0" fontId="34" fillId="36" borderId="21" xfId="167" applyFont="1" applyFill="1" applyBorder="1" applyAlignment="1">
      <alignment horizontal="center" vertical="center" wrapText="1"/>
    </xf>
    <xf numFmtId="0" fontId="25" fillId="34" borderId="20" xfId="167" applyFont="1" applyFill="1" applyBorder="1" applyAlignment="1">
      <alignment horizontal="left" vertical="center" wrapText="1"/>
    </xf>
    <xf numFmtId="0" fontId="25" fillId="35" borderId="11" xfId="0" applyFont="1" applyFill="1" applyBorder="1" applyAlignment="1">
      <alignment horizontal="left" vertical="center" wrapText="1"/>
    </xf>
    <xf numFmtId="0" fontId="25" fillId="35" borderId="21" xfId="0" applyFont="1" applyFill="1" applyBorder="1" applyAlignment="1">
      <alignment horizontal="left" vertical="center" wrapText="1"/>
    </xf>
    <xf numFmtId="0" fontId="25" fillId="35" borderId="21" xfId="0" applyFont="1" applyFill="1" applyBorder="1" applyAlignment="1">
      <alignment horizontal="left" vertical="top" wrapText="1"/>
    </xf>
    <xf numFmtId="168" fontId="34" fillId="30" borderId="22" xfId="167" applyNumberFormat="1" applyFont="1" applyFill="1" applyBorder="1" applyAlignment="1">
      <alignment vertical="center" wrapText="1"/>
    </xf>
    <xf numFmtId="168" fontId="34" fillId="30" borderId="21" xfId="167" applyNumberFormat="1" applyFont="1" applyFill="1" applyBorder="1" applyAlignment="1">
      <alignment vertical="center" wrapText="1"/>
    </xf>
    <xf numFmtId="168" fontId="25" fillId="30" borderId="22" xfId="167" applyNumberFormat="1" applyFont="1" applyFill="1" applyBorder="1" applyAlignment="1">
      <alignment vertical="center" wrapText="1"/>
    </xf>
    <xf numFmtId="0" fontId="25" fillId="35" borderId="29" xfId="167" applyFont="1" applyFill="1" applyBorder="1" applyAlignment="1">
      <alignment vertical="center" wrapText="1"/>
    </xf>
    <xf numFmtId="0" fontId="34" fillId="29" borderId="35" xfId="167" applyFont="1" applyFill="1" applyBorder="1" applyAlignment="1">
      <alignment vertical="center" wrapText="1"/>
    </xf>
    <xf numFmtId="0" fontId="34" fillId="29" borderId="28" xfId="167" applyFont="1" applyFill="1" applyBorder="1" applyAlignment="1">
      <alignment vertical="center" wrapText="1"/>
    </xf>
    <xf numFmtId="0" fontId="34" fillId="29" borderId="21" xfId="167" applyFont="1" applyFill="1" applyBorder="1" applyAlignment="1">
      <alignment vertical="center" wrapText="1"/>
    </xf>
    <xf numFmtId="0" fontId="50" fillId="0" borderId="0" xfId="0" applyFont="1" applyAlignment="1">
      <alignment vertical="center"/>
    </xf>
    <xf numFmtId="0" fontId="25" fillId="34" borderId="21" xfId="0" applyFont="1" applyFill="1" applyBorder="1" applyAlignment="1">
      <alignment horizontal="left" vertical="top" wrapText="1"/>
    </xf>
    <xf numFmtId="0" fontId="44" fillId="0" borderId="0" xfId="0" applyFont="1" applyAlignment="1">
      <alignment vertical="center"/>
    </xf>
    <xf numFmtId="0" fontId="34" fillId="36" borderId="21" xfId="167" applyFont="1" applyFill="1" applyBorder="1" applyAlignment="1">
      <alignment horizontal="center" vertical="center" wrapText="1"/>
    </xf>
    <xf numFmtId="0" fontId="25" fillId="34" borderId="11" xfId="0" applyFont="1" applyFill="1" applyBorder="1" applyAlignment="1">
      <alignment horizontal="left" vertical="center"/>
    </xf>
    <xf numFmtId="0" fontId="25" fillId="34" borderId="21" xfId="0" applyFont="1" applyFill="1" applyBorder="1" applyAlignment="1">
      <alignment horizontal="left" vertical="center" wrapText="1"/>
    </xf>
    <xf numFmtId="0" fontId="25" fillId="35" borderId="21" xfId="0" applyFont="1" applyFill="1" applyBorder="1" applyAlignment="1">
      <alignment horizontal="left" vertical="center" wrapText="1"/>
    </xf>
    <xf numFmtId="0" fontId="34" fillId="27" borderId="21" xfId="161" applyFont="1" applyFill="1" applyBorder="1" applyAlignment="1">
      <alignment horizontal="center" vertical="center"/>
    </xf>
    <xf numFmtId="0" fontId="34" fillId="27" borderId="22" xfId="161" applyFont="1" applyFill="1" applyBorder="1" applyAlignment="1">
      <alignment horizontal="center" vertical="center"/>
    </xf>
    <xf numFmtId="0" fontId="25" fillId="34" borderId="21" xfId="0" applyFont="1" applyFill="1" applyBorder="1" applyAlignment="1">
      <alignment horizontal="left" vertical="center" wrapText="1"/>
    </xf>
    <xf numFmtId="0" fontId="25" fillId="0" borderId="22" xfId="161" applyFont="1" applyBorder="1" applyAlignment="1">
      <alignment horizontal="right"/>
    </xf>
    <xf numFmtId="0" fontId="25" fillId="0" borderId="21" xfId="0" applyFont="1" applyBorder="1" applyAlignment="1"/>
    <xf numFmtId="169" fontId="44" fillId="0" borderId="28" xfId="104" applyNumberFormat="1" applyFont="1" applyFill="1" applyBorder="1"/>
    <xf numFmtId="0" fontId="47" fillId="0" borderId="21" xfId="161" applyFont="1" applyBorder="1" applyAlignment="1">
      <alignment horizontal="right"/>
    </xf>
    <xf numFmtId="0" fontId="25" fillId="35" borderId="11" xfId="0" applyFont="1" applyFill="1" applyBorder="1" applyAlignment="1">
      <alignment horizontal="left" vertical="center"/>
    </xf>
    <xf numFmtId="0" fontId="25" fillId="35" borderId="21" xfId="0" applyFont="1" applyFill="1" applyBorder="1" applyAlignment="1">
      <alignment horizontal="left" vertical="center" wrapText="1"/>
    </xf>
    <xf numFmtId="0" fontId="25" fillId="34" borderId="29" xfId="0" applyFont="1" applyFill="1" applyBorder="1" applyAlignment="1">
      <alignment horizontal="left" vertical="center" wrapText="1"/>
    </xf>
    <xf numFmtId="0" fontId="25" fillId="34" borderId="21" xfId="0" applyFont="1" applyFill="1" applyBorder="1" applyAlignment="1">
      <alignment horizontal="left" vertical="center" wrapText="1"/>
    </xf>
    <xf numFmtId="0" fontId="25" fillId="35" borderId="11" xfId="0" applyFont="1" applyFill="1" applyBorder="1" applyAlignment="1">
      <alignment horizontal="left" vertical="center"/>
    </xf>
    <xf numFmtId="0" fontId="40" fillId="33" borderId="29" xfId="0" applyFont="1" applyFill="1" applyBorder="1" applyAlignment="1">
      <alignment vertical="center"/>
    </xf>
    <xf numFmtId="0" fontId="25" fillId="33" borderId="11" xfId="0" applyFont="1" applyFill="1" applyBorder="1" applyAlignment="1">
      <alignment vertical="center"/>
    </xf>
    <xf numFmtId="168" fontId="25" fillId="33" borderId="21" xfId="167" applyNumberFormat="1" applyFont="1" applyFill="1" applyBorder="1" applyAlignment="1">
      <alignment horizontal="left" vertical="center"/>
    </xf>
    <xf numFmtId="168" fontId="25" fillId="34" borderId="11" xfId="167" applyNumberFormat="1" applyFont="1" applyFill="1" applyBorder="1" applyAlignment="1">
      <alignment vertical="center"/>
    </xf>
    <xf numFmtId="168" fontId="25" fillId="34" borderId="21" xfId="167" applyNumberFormat="1" applyFont="1" applyFill="1" applyBorder="1" applyAlignment="1">
      <alignment vertical="center"/>
    </xf>
    <xf numFmtId="168" fontId="34" fillId="31" borderId="21" xfId="85" applyNumberFormat="1" applyFont="1" applyFill="1" applyBorder="1" applyAlignment="1">
      <alignment horizontal="left" vertical="center"/>
    </xf>
    <xf numFmtId="0" fontId="25" fillId="33" borderId="0" xfId="0" applyFont="1" applyFill="1" applyAlignment="1">
      <alignment horizontal="left" vertical="center"/>
    </xf>
    <xf numFmtId="0" fontId="25" fillId="34" borderId="21" xfId="0" applyFont="1" applyFill="1" applyBorder="1" applyAlignment="1">
      <alignment vertical="center"/>
    </xf>
    <xf numFmtId="0" fontId="20" fillId="33" borderId="11" xfId="167" applyFont="1" applyFill="1" applyBorder="1" applyAlignment="1">
      <alignment vertical="center"/>
    </xf>
    <xf numFmtId="0" fontId="25" fillId="35" borderId="21" xfId="0" applyFont="1" applyFill="1" applyBorder="1" applyAlignment="1">
      <alignment horizontal="left" vertical="center" wrapText="1"/>
    </xf>
    <xf numFmtId="0" fontId="24" fillId="25" borderId="22" xfId="167" applyFont="1" applyFill="1" applyBorder="1" applyAlignment="1">
      <alignment horizontal="left" wrapText="1"/>
    </xf>
    <xf numFmtId="0" fontId="24" fillId="25" borderId="35" xfId="167" applyFont="1" applyFill="1" applyBorder="1" applyAlignment="1">
      <alignment horizontal="left" wrapText="1"/>
    </xf>
    <xf numFmtId="0" fontId="24" fillId="25" borderId="28" xfId="167" applyFont="1" applyFill="1" applyBorder="1" applyAlignment="1">
      <alignment horizontal="left" wrapText="1"/>
    </xf>
    <xf numFmtId="0" fontId="24" fillId="0" borderId="36" xfId="167" applyFont="1" applyBorder="1" applyAlignment="1">
      <alignment horizontal="left" wrapText="1"/>
    </xf>
    <xf numFmtId="0" fontId="24" fillId="25" borderId="37" xfId="167" applyFont="1" applyFill="1" applyBorder="1" applyAlignment="1">
      <alignment horizontal="left" wrapText="1"/>
    </xf>
    <xf numFmtId="0" fontId="24" fillId="25" borderId="36" xfId="167" applyFont="1" applyFill="1" applyBorder="1" applyAlignment="1">
      <alignment horizontal="left" wrapText="1"/>
    </xf>
    <xf numFmtId="0" fontId="24" fillId="25" borderId="38" xfId="167" applyFont="1" applyFill="1" applyBorder="1" applyAlignment="1">
      <alignment horizontal="left" wrapText="1"/>
    </xf>
    <xf numFmtId="0" fontId="24" fillId="0" borderId="27" xfId="167" applyFont="1" applyBorder="1" applyAlignment="1">
      <alignment horizontal="center" wrapText="1"/>
    </xf>
    <xf numFmtId="0" fontId="24" fillId="27" borderId="20" xfId="161" applyFont="1" applyFill="1" applyBorder="1" applyAlignment="1">
      <alignment horizontal="center" vertical="center"/>
    </xf>
    <xf numFmtId="0" fontId="24" fillId="27" borderId="11" xfId="161" applyFont="1" applyFill="1" applyBorder="1" applyAlignment="1">
      <alignment horizontal="center" vertical="center"/>
    </xf>
    <xf numFmtId="0" fontId="24" fillId="27" borderId="37" xfId="161" applyFont="1" applyFill="1" applyBorder="1" applyAlignment="1">
      <alignment horizontal="center"/>
    </xf>
    <xf numFmtId="0" fontId="24" fillId="27" borderId="36" xfId="161" applyFont="1" applyFill="1" applyBorder="1" applyAlignment="1">
      <alignment horizontal="center"/>
    </xf>
    <xf numFmtId="0" fontId="24" fillId="27" borderId="38" xfId="161" applyFont="1" applyFill="1" applyBorder="1" applyAlignment="1">
      <alignment horizontal="center"/>
    </xf>
    <xf numFmtId="0" fontId="34" fillId="25" borderId="22" xfId="167" applyFont="1" applyFill="1" applyBorder="1" applyAlignment="1">
      <alignment horizontal="left" wrapText="1"/>
    </xf>
    <xf numFmtId="0" fontId="34" fillId="25" borderId="35" xfId="167" applyFont="1" applyFill="1" applyBorder="1" applyAlignment="1">
      <alignment horizontal="left" wrapText="1"/>
    </xf>
    <xf numFmtId="0" fontId="34" fillId="25" borderId="28" xfId="167" applyFont="1" applyFill="1" applyBorder="1" applyAlignment="1">
      <alignment horizontal="left" wrapText="1"/>
    </xf>
    <xf numFmtId="0" fontId="34" fillId="0" borderId="36" xfId="167" applyFont="1" applyBorder="1" applyAlignment="1">
      <alignment horizontal="center" wrapText="1"/>
    </xf>
    <xf numFmtId="0" fontId="34" fillId="27" borderId="9" xfId="161" applyFont="1" applyFill="1" applyBorder="1" applyAlignment="1">
      <alignment horizontal="center" vertical="center"/>
    </xf>
    <xf numFmtId="0" fontId="34" fillId="27" borderId="37" xfId="161" applyFont="1" applyFill="1" applyBorder="1" applyAlignment="1">
      <alignment horizontal="center" vertical="center"/>
    </xf>
    <xf numFmtId="0" fontId="34" fillId="27" borderId="33" xfId="161" applyFont="1" applyFill="1" applyBorder="1" applyAlignment="1">
      <alignment horizontal="center" vertical="center"/>
    </xf>
    <xf numFmtId="0" fontId="34" fillId="27" borderId="35" xfId="161" applyFont="1" applyFill="1" applyBorder="1" applyAlignment="1">
      <alignment horizontal="center" vertical="center"/>
    </xf>
    <xf numFmtId="0" fontId="34" fillId="27" borderId="34" xfId="161" applyFont="1" applyFill="1" applyBorder="1" applyAlignment="1">
      <alignment horizontal="center" vertical="center"/>
    </xf>
    <xf numFmtId="0" fontId="34" fillId="27" borderId="33" xfId="161" applyFont="1" applyFill="1" applyBorder="1" applyAlignment="1">
      <alignment horizontal="center" vertical="center" wrapText="1"/>
    </xf>
    <xf numFmtId="0" fontId="34" fillId="27" borderId="35" xfId="161" applyFont="1" applyFill="1" applyBorder="1" applyAlignment="1">
      <alignment horizontal="center" vertical="center" wrapText="1"/>
    </xf>
    <xf numFmtId="0" fontId="34" fillId="27" borderId="34" xfId="161" applyFont="1" applyFill="1" applyBorder="1" applyAlignment="1">
      <alignment horizontal="center" vertical="center" wrapText="1"/>
    </xf>
    <xf numFmtId="0" fontId="34" fillId="27" borderId="28" xfId="161" applyFont="1" applyFill="1" applyBorder="1" applyAlignment="1">
      <alignment horizontal="center"/>
    </xf>
    <xf numFmtId="0" fontId="34" fillId="0" borderId="36" xfId="161" applyFont="1" applyBorder="1" applyAlignment="1">
      <alignment horizontal="center" vertical="center"/>
    </xf>
    <xf numFmtId="0" fontId="34" fillId="0" borderId="0" xfId="161" applyFont="1" applyBorder="1" applyAlignment="1">
      <alignment horizontal="center" vertical="center"/>
    </xf>
    <xf numFmtId="0" fontId="34" fillId="27" borderId="31" xfId="161" applyFont="1" applyFill="1" applyBorder="1" applyAlignment="1">
      <alignment horizontal="center" vertical="center"/>
    </xf>
    <xf numFmtId="0" fontId="34" fillId="27" borderId="21" xfId="161" applyFont="1" applyFill="1" applyBorder="1" applyAlignment="1">
      <alignment horizontal="center" vertical="center"/>
    </xf>
    <xf numFmtId="0" fontId="34" fillId="27" borderId="32" xfId="161" applyFont="1" applyFill="1" applyBorder="1" applyAlignment="1">
      <alignment horizontal="center" vertical="center"/>
    </xf>
    <xf numFmtId="0" fontId="42" fillId="35" borderId="33" xfId="161" applyFont="1" applyFill="1" applyBorder="1" applyAlignment="1">
      <alignment horizontal="center" vertical="center"/>
    </xf>
    <xf numFmtId="0" fontId="42" fillId="35" borderId="35" xfId="161" applyFont="1" applyFill="1" applyBorder="1" applyAlignment="1">
      <alignment horizontal="center" vertical="center"/>
    </xf>
    <xf numFmtId="0" fontId="42" fillId="35" borderId="34" xfId="161" applyFont="1" applyFill="1" applyBorder="1" applyAlignment="1">
      <alignment horizontal="center" vertical="center"/>
    </xf>
    <xf numFmtId="0" fontId="34" fillId="27" borderId="28" xfId="161" applyFont="1" applyFill="1" applyBorder="1" applyAlignment="1">
      <alignment horizontal="center" vertical="center"/>
    </xf>
    <xf numFmtId="0" fontId="34" fillId="27" borderId="22" xfId="161" applyFont="1" applyFill="1" applyBorder="1" applyAlignment="1">
      <alignment horizontal="center" vertical="center"/>
    </xf>
    <xf numFmtId="0" fontId="25" fillId="34" borderId="29" xfId="167" applyFont="1" applyFill="1" applyBorder="1" applyAlignment="1">
      <alignment horizontal="left" vertical="center" wrapText="1"/>
    </xf>
    <xf numFmtId="0" fontId="25" fillId="34" borderId="20" xfId="167" applyFont="1" applyFill="1" applyBorder="1" applyAlignment="1">
      <alignment horizontal="left" vertical="center" wrapText="1"/>
    </xf>
    <xf numFmtId="0" fontId="25" fillId="34" borderId="11" xfId="167" applyFont="1" applyFill="1" applyBorder="1" applyAlignment="1">
      <alignment horizontal="left" vertical="center" wrapText="1"/>
    </xf>
    <xf numFmtId="0" fontId="34" fillId="35" borderId="20" xfId="167" applyFont="1" applyFill="1" applyBorder="1" applyAlignment="1">
      <alignment horizontal="center" vertical="center" wrapText="1"/>
    </xf>
    <xf numFmtId="0" fontId="34" fillId="35" borderId="11" xfId="167" applyFont="1" applyFill="1" applyBorder="1" applyAlignment="1">
      <alignment horizontal="center" vertical="center" wrapText="1"/>
    </xf>
    <xf numFmtId="0" fontId="25" fillId="35" borderId="29" xfId="167" applyFont="1" applyFill="1" applyBorder="1" applyAlignment="1">
      <alignment horizontal="left" vertical="center" wrapText="1"/>
    </xf>
    <xf numFmtId="0" fontId="25" fillId="35" borderId="20" xfId="167" applyFont="1" applyFill="1" applyBorder="1" applyAlignment="1">
      <alignment horizontal="left" vertical="center" wrapText="1"/>
    </xf>
    <xf numFmtId="0" fontId="25" fillId="35" borderId="11" xfId="167" applyFont="1" applyFill="1" applyBorder="1" applyAlignment="1">
      <alignment horizontal="left" vertical="center" wrapText="1"/>
    </xf>
    <xf numFmtId="0" fontId="25" fillId="35" borderId="29" xfId="0" applyFont="1" applyFill="1" applyBorder="1" applyAlignment="1">
      <alignment horizontal="left" vertical="center" wrapText="1"/>
    </xf>
    <xf numFmtId="0" fontId="25" fillId="35" borderId="20" xfId="0" applyFont="1" applyFill="1" applyBorder="1" applyAlignment="1">
      <alignment horizontal="left" vertical="center" wrapText="1"/>
    </xf>
    <xf numFmtId="0" fontId="25" fillId="35" borderId="11" xfId="0" applyFont="1" applyFill="1" applyBorder="1" applyAlignment="1">
      <alignment horizontal="left" vertical="center" wrapText="1"/>
    </xf>
    <xf numFmtId="0" fontId="34" fillId="34" borderId="29" xfId="167" applyFont="1" applyFill="1" applyBorder="1" applyAlignment="1">
      <alignment horizontal="center" vertical="center" wrapText="1"/>
    </xf>
    <xf numFmtId="0" fontId="34" fillId="34" borderId="20" xfId="167" applyFont="1" applyFill="1" applyBorder="1" applyAlignment="1">
      <alignment horizontal="center" vertical="center" wrapText="1"/>
    </xf>
    <xf numFmtId="0" fontId="34" fillId="34" borderId="11" xfId="167" applyFont="1" applyFill="1" applyBorder="1" applyAlignment="1">
      <alignment horizontal="center" vertical="center" wrapText="1"/>
    </xf>
    <xf numFmtId="0" fontId="25" fillId="34" borderId="29" xfId="0" applyFont="1" applyFill="1" applyBorder="1" applyAlignment="1">
      <alignment horizontal="left" vertical="center" wrapText="1"/>
    </xf>
    <xf numFmtId="0" fontId="25" fillId="34" borderId="11" xfId="0" applyFont="1" applyFill="1" applyBorder="1" applyAlignment="1">
      <alignment horizontal="left" vertical="center" wrapText="1"/>
    </xf>
    <xf numFmtId="170" fontId="25" fillId="34" borderId="29" xfId="118" applyNumberFormat="1" applyFont="1" applyFill="1" applyBorder="1" applyAlignment="1">
      <alignment horizontal="left" vertical="center"/>
    </xf>
    <xf numFmtId="170" fontId="25" fillId="34" borderId="20" xfId="118" applyNumberFormat="1" applyFont="1" applyFill="1" applyBorder="1" applyAlignment="1">
      <alignment horizontal="left" vertical="center"/>
    </xf>
    <xf numFmtId="170" fontId="25" fillId="34" borderId="11" xfId="118" applyNumberFormat="1" applyFont="1" applyFill="1" applyBorder="1" applyAlignment="1">
      <alignment horizontal="left" vertical="center"/>
    </xf>
    <xf numFmtId="0" fontId="25" fillId="34" borderId="29" xfId="0" applyFont="1" applyFill="1" applyBorder="1" applyAlignment="1">
      <alignment horizontal="left" vertical="center"/>
    </xf>
    <xf numFmtId="0" fontId="25" fillId="34" borderId="20" xfId="0" applyFont="1" applyFill="1" applyBorder="1" applyAlignment="1">
      <alignment horizontal="left" vertical="center"/>
    </xf>
    <xf numFmtId="0" fontId="25" fillId="34" borderId="11" xfId="0" applyFont="1" applyFill="1" applyBorder="1" applyAlignment="1">
      <alignment horizontal="left" vertical="center"/>
    </xf>
    <xf numFmtId="0" fontId="34" fillId="25" borderId="22" xfId="167" applyFont="1" applyFill="1" applyBorder="1" applyAlignment="1">
      <alignment horizontal="left" vertical="center" wrapText="1"/>
    </xf>
    <xf numFmtId="0" fontId="34" fillId="25" borderId="35" xfId="167" applyFont="1" applyFill="1" applyBorder="1" applyAlignment="1">
      <alignment horizontal="left" vertical="center" wrapText="1"/>
    </xf>
    <xf numFmtId="0" fontId="34" fillId="25" borderId="28" xfId="167" applyFont="1" applyFill="1" applyBorder="1" applyAlignment="1">
      <alignment horizontal="left" vertical="center" wrapText="1"/>
    </xf>
    <xf numFmtId="0" fontId="34" fillId="36" borderId="29" xfId="167" applyFont="1" applyFill="1" applyBorder="1" applyAlignment="1">
      <alignment horizontal="left" vertical="center" wrapText="1"/>
    </xf>
    <xf numFmtId="0" fontId="34" fillId="36" borderId="11" xfId="167" applyFont="1" applyFill="1" applyBorder="1" applyAlignment="1">
      <alignment horizontal="left" vertical="center" wrapText="1"/>
    </xf>
    <xf numFmtId="0" fontId="34" fillId="36" borderId="29" xfId="167" applyFont="1" applyFill="1" applyBorder="1" applyAlignment="1">
      <alignment horizontal="center" vertical="center" wrapText="1"/>
    </xf>
    <xf numFmtId="0" fontId="34" fillId="36" borderId="11" xfId="167" applyFont="1" applyFill="1" applyBorder="1" applyAlignment="1">
      <alignment horizontal="center" vertical="center" wrapText="1"/>
    </xf>
    <xf numFmtId="0" fontId="34" fillId="36" borderId="21" xfId="167" applyFont="1" applyFill="1" applyBorder="1" applyAlignment="1">
      <alignment horizontal="center" vertical="center" wrapText="1"/>
    </xf>
    <xf numFmtId="169" fontId="25" fillId="35" borderId="29" xfId="153" applyNumberFormat="1" applyFont="1" applyFill="1" applyBorder="1" applyAlignment="1">
      <alignment horizontal="center" vertical="center"/>
    </xf>
    <xf numFmtId="169" fontId="25" fillId="35" borderId="11" xfId="153" applyNumberFormat="1" applyFont="1" applyFill="1" applyBorder="1" applyAlignment="1">
      <alignment horizontal="center" vertical="center"/>
    </xf>
    <xf numFmtId="168" fontId="25" fillId="35" borderId="29" xfId="167" applyNumberFormat="1" applyFont="1" applyFill="1" applyBorder="1" applyAlignment="1">
      <alignment horizontal="left" vertical="center" wrapText="1"/>
    </xf>
    <xf numFmtId="168" fontId="25" fillId="35" borderId="20" xfId="167" applyNumberFormat="1" applyFont="1" applyFill="1" applyBorder="1" applyAlignment="1">
      <alignment horizontal="left" vertical="center" wrapText="1"/>
    </xf>
    <xf numFmtId="168" fontId="25" fillId="35" borderId="11" xfId="167" applyNumberFormat="1" applyFont="1" applyFill="1" applyBorder="1" applyAlignment="1">
      <alignment horizontal="left" vertical="center" wrapText="1"/>
    </xf>
    <xf numFmtId="0" fontId="34" fillId="25" borderId="21" xfId="167" applyFont="1" applyFill="1" applyBorder="1" applyAlignment="1">
      <alignment horizontal="left" vertical="center" wrapText="1"/>
    </xf>
    <xf numFmtId="168" fontId="34" fillId="33" borderId="29" xfId="167" applyNumberFormat="1" applyFont="1" applyFill="1" applyBorder="1" applyAlignment="1">
      <alignment horizontal="center" vertical="center" wrapText="1"/>
    </xf>
    <xf numFmtId="168" fontId="34" fillId="33" borderId="20" xfId="167" applyNumberFormat="1" applyFont="1" applyFill="1" applyBorder="1" applyAlignment="1">
      <alignment horizontal="center" vertical="center" wrapText="1"/>
    </xf>
    <xf numFmtId="168" fontId="34" fillId="33" borderId="11" xfId="167" applyNumberFormat="1" applyFont="1" applyFill="1" applyBorder="1" applyAlignment="1">
      <alignment horizontal="center" vertical="center" wrapText="1"/>
    </xf>
    <xf numFmtId="168" fontId="25" fillId="33" borderId="21" xfId="167" applyNumberFormat="1" applyFont="1" applyFill="1" applyBorder="1" applyAlignment="1">
      <alignment horizontal="left" vertical="center" wrapText="1"/>
    </xf>
    <xf numFmtId="168" fontId="25" fillId="33" borderId="29" xfId="167" applyNumberFormat="1" applyFont="1" applyFill="1" applyBorder="1" applyAlignment="1">
      <alignment horizontal="center" vertical="center" wrapText="1"/>
    </xf>
    <xf numFmtId="168" fontId="25" fillId="33" borderId="11" xfId="167" applyNumberFormat="1" applyFont="1" applyFill="1" applyBorder="1" applyAlignment="1">
      <alignment horizontal="center" vertical="center" wrapText="1"/>
    </xf>
    <xf numFmtId="0" fontId="25" fillId="33" borderId="29" xfId="0" applyFont="1" applyFill="1" applyBorder="1" applyAlignment="1">
      <alignment horizontal="left" vertical="center"/>
    </xf>
    <xf numFmtId="0" fontId="25" fillId="33" borderId="11" xfId="0" applyFont="1" applyFill="1" applyBorder="1" applyAlignment="1">
      <alignment horizontal="left" vertical="center"/>
    </xf>
    <xf numFmtId="168" fontId="25" fillId="33" borderId="29" xfId="167" applyNumberFormat="1" applyFont="1" applyFill="1" applyBorder="1" applyAlignment="1">
      <alignment horizontal="left" vertical="center" wrapText="1"/>
    </xf>
    <xf numFmtId="168" fontId="25" fillId="33" borderId="11" xfId="167" applyNumberFormat="1" applyFont="1" applyFill="1" applyBorder="1" applyAlignment="1">
      <alignment horizontal="left" vertical="center" wrapText="1"/>
    </xf>
    <xf numFmtId="168" fontId="34" fillId="35" borderId="29" xfId="167" applyNumberFormat="1" applyFont="1" applyFill="1" applyBorder="1" applyAlignment="1">
      <alignment horizontal="center" vertical="center" wrapText="1"/>
    </xf>
    <xf numFmtId="168" fontId="34" fillId="35" borderId="20" xfId="167" applyNumberFormat="1" applyFont="1" applyFill="1" applyBorder="1" applyAlignment="1">
      <alignment horizontal="center" vertical="center" wrapText="1"/>
    </xf>
    <xf numFmtId="168" fontId="34" fillId="35" borderId="11" xfId="167" applyNumberFormat="1" applyFont="1" applyFill="1" applyBorder="1" applyAlignment="1">
      <alignment horizontal="center" vertical="center" wrapText="1"/>
    </xf>
    <xf numFmtId="168" fontId="25" fillId="33" borderId="20" xfId="167" applyNumberFormat="1" applyFont="1" applyFill="1" applyBorder="1" applyAlignment="1">
      <alignment horizontal="left" vertical="center" wrapText="1"/>
    </xf>
    <xf numFmtId="168" fontId="34" fillId="35" borderId="21" xfId="167" applyNumberFormat="1" applyFont="1" applyFill="1" applyBorder="1" applyAlignment="1">
      <alignment horizontal="center" vertical="center" wrapText="1"/>
    </xf>
    <xf numFmtId="0" fontId="25" fillId="35" borderId="21" xfId="167" applyFont="1" applyFill="1" applyBorder="1" applyAlignment="1">
      <alignment horizontal="left" vertical="center" wrapText="1"/>
    </xf>
    <xf numFmtId="0" fontId="25" fillId="34" borderId="21" xfId="167" applyFont="1" applyFill="1" applyBorder="1" applyAlignment="1">
      <alignment horizontal="left" vertical="center" wrapText="1"/>
    </xf>
    <xf numFmtId="0" fontId="34" fillId="35" borderId="29" xfId="167" applyFont="1" applyFill="1" applyBorder="1" applyAlignment="1">
      <alignment horizontal="center" vertical="center" wrapText="1"/>
    </xf>
    <xf numFmtId="0" fontId="25" fillId="34" borderId="21" xfId="0" applyFont="1" applyFill="1" applyBorder="1" applyAlignment="1">
      <alignment horizontal="left" vertical="center" wrapText="1"/>
    </xf>
    <xf numFmtId="0" fontId="34" fillId="33" borderId="29" xfId="167" applyFont="1" applyFill="1" applyBorder="1" applyAlignment="1">
      <alignment horizontal="center" vertical="center" wrapText="1"/>
    </xf>
    <xf numFmtId="0" fontId="34" fillId="33" borderId="20" xfId="167" applyFont="1" applyFill="1" applyBorder="1" applyAlignment="1">
      <alignment horizontal="center" vertical="center" wrapText="1"/>
    </xf>
    <xf numFmtId="0" fontId="34" fillId="33" borderId="11" xfId="167" applyFont="1" applyFill="1" applyBorder="1" applyAlignment="1">
      <alignment horizontal="center" vertical="center" wrapText="1"/>
    </xf>
    <xf numFmtId="0" fontId="25" fillId="33" borderId="29" xfId="167" applyFont="1" applyFill="1" applyBorder="1" applyAlignment="1">
      <alignment horizontal="left" vertical="center" wrapText="1"/>
    </xf>
    <xf numFmtId="0" fontId="25" fillId="33" borderId="20" xfId="167" applyFont="1" applyFill="1" applyBorder="1" applyAlignment="1">
      <alignment horizontal="left" vertical="center" wrapText="1"/>
    </xf>
    <xf numFmtId="0" fontId="25" fillId="33" borderId="11" xfId="167" applyFont="1" applyFill="1" applyBorder="1" applyAlignment="1">
      <alignment horizontal="left" vertical="center" wrapText="1"/>
    </xf>
    <xf numFmtId="0" fontId="25" fillId="33" borderId="29" xfId="0" applyFont="1" applyFill="1" applyBorder="1" applyAlignment="1">
      <alignment horizontal="left" vertical="center" wrapText="1"/>
    </xf>
    <xf numFmtId="0" fontId="25" fillId="33" borderId="20" xfId="0" applyFont="1" applyFill="1" applyBorder="1" applyAlignment="1">
      <alignment horizontal="left" vertical="center" wrapText="1"/>
    </xf>
    <xf numFmtId="0" fontId="25" fillId="33" borderId="11" xfId="0" applyFont="1" applyFill="1" applyBorder="1" applyAlignment="1">
      <alignment horizontal="left" vertical="center" wrapText="1"/>
    </xf>
    <xf numFmtId="168" fontId="25" fillId="30" borderId="22" xfId="167" applyNumberFormat="1" applyFont="1" applyFill="1" applyBorder="1" applyAlignment="1">
      <alignment horizontal="center" vertical="center" wrapText="1"/>
    </xf>
    <xf numFmtId="168" fontId="25" fillId="30" borderId="35" xfId="167" applyNumberFormat="1" applyFont="1" applyFill="1" applyBorder="1" applyAlignment="1">
      <alignment horizontal="center" vertical="center" wrapText="1"/>
    </xf>
    <xf numFmtId="168" fontId="25" fillId="30" borderId="28" xfId="167" applyNumberFormat="1" applyFont="1" applyFill="1" applyBorder="1" applyAlignment="1">
      <alignment horizontal="center" vertical="center" wrapText="1"/>
    </xf>
    <xf numFmtId="168" fontId="34" fillId="30" borderId="22" xfId="167" applyNumberFormat="1" applyFont="1" applyFill="1" applyBorder="1" applyAlignment="1">
      <alignment horizontal="center" vertical="center" wrapText="1"/>
    </xf>
    <xf numFmtId="168" fontId="34" fillId="30" borderId="28" xfId="167" applyNumberFormat="1" applyFont="1" applyFill="1" applyBorder="1" applyAlignment="1">
      <alignment horizontal="center" vertical="center" wrapText="1"/>
    </xf>
    <xf numFmtId="168" fontId="25" fillId="34" borderId="29" xfId="167" applyNumberFormat="1" applyFont="1" applyFill="1" applyBorder="1" applyAlignment="1">
      <alignment horizontal="left" vertical="center" wrapText="1"/>
    </xf>
    <xf numFmtId="168" fontId="25" fillId="34" borderId="20" xfId="167" applyNumberFormat="1" applyFont="1" applyFill="1" applyBorder="1" applyAlignment="1">
      <alignment horizontal="left" vertical="center" wrapText="1"/>
    </xf>
    <xf numFmtId="168" fontId="25" fillId="34" borderId="11" xfId="167" applyNumberFormat="1" applyFont="1" applyFill="1" applyBorder="1" applyAlignment="1">
      <alignment horizontal="left" vertical="center" wrapText="1"/>
    </xf>
    <xf numFmtId="168" fontId="34" fillId="34" borderId="29" xfId="167" applyNumberFormat="1" applyFont="1" applyFill="1" applyBorder="1" applyAlignment="1">
      <alignment horizontal="center" vertical="center" wrapText="1"/>
    </xf>
    <xf numFmtId="168" fontId="34" fillId="34" borderId="20" xfId="167" applyNumberFormat="1" applyFont="1" applyFill="1" applyBorder="1" applyAlignment="1">
      <alignment horizontal="center" vertical="center" wrapText="1"/>
    </xf>
    <xf numFmtId="168" fontId="34" fillId="34" borderId="11" xfId="167" applyNumberFormat="1" applyFont="1" applyFill="1" applyBorder="1" applyAlignment="1">
      <alignment horizontal="center" vertical="center" wrapText="1"/>
    </xf>
    <xf numFmtId="168" fontId="25" fillId="34" borderId="29" xfId="167" applyNumberFormat="1" applyFont="1" applyFill="1" applyBorder="1" applyAlignment="1">
      <alignment vertical="center" wrapText="1"/>
    </xf>
    <xf numFmtId="168" fontId="25" fillId="34" borderId="20" xfId="167" applyNumberFormat="1" applyFont="1" applyFill="1" applyBorder="1" applyAlignment="1">
      <alignment vertical="center" wrapText="1"/>
    </xf>
    <xf numFmtId="168" fontId="25" fillId="34" borderId="11" xfId="167" applyNumberFormat="1" applyFont="1" applyFill="1" applyBorder="1" applyAlignment="1">
      <alignment vertical="center" wrapText="1"/>
    </xf>
    <xf numFmtId="0" fontId="25" fillId="33" borderId="9" xfId="167" applyFont="1" applyFill="1" applyBorder="1" applyAlignment="1">
      <alignment horizontal="left" vertical="center" wrapText="1"/>
    </xf>
    <xf numFmtId="0" fontId="25" fillId="33" borderId="40" xfId="167" applyFont="1" applyFill="1" applyBorder="1" applyAlignment="1">
      <alignment horizontal="left" vertical="center" wrapText="1"/>
    </xf>
    <xf numFmtId="0" fontId="25" fillId="33" borderId="37" xfId="167" applyFont="1" applyFill="1" applyBorder="1" applyAlignment="1">
      <alignment horizontal="left" vertical="center" wrapText="1"/>
    </xf>
    <xf numFmtId="168" fontId="34" fillId="30" borderId="21" xfId="167" applyNumberFormat="1" applyFont="1" applyFill="1" applyBorder="1" applyAlignment="1">
      <alignment horizontal="center" vertical="center" wrapText="1"/>
    </xf>
    <xf numFmtId="169" fontId="25" fillId="33" borderId="29" xfId="153" applyNumberFormat="1" applyFont="1" applyFill="1" applyBorder="1" applyAlignment="1">
      <alignment horizontal="center" vertical="center"/>
    </xf>
    <xf numFmtId="169" fontId="25" fillId="33" borderId="11" xfId="153" applyNumberFormat="1" applyFont="1" applyFill="1" applyBorder="1" applyAlignment="1">
      <alignment horizontal="center" vertical="center"/>
    </xf>
    <xf numFmtId="0" fontId="25" fillId="33" borderId="29" xfId="167" applyNumberFormat="1" applyFont="1" applyFill="1" applyBorder="1" applyAlignment="1">
      <alignment horizontal="left" vertical="center" wrapText="1"/>
    </xf>
    <xf numFmtId="0" fontId="25" fillId="33" borderId="11" xfId="167" applyNumberFormat="1" applyFont="1" applyFill="1" applyBorder="1" applyAlignment="1">
      <alignment horizontal="left" vertical="center" wrapText="1"/>
    </xf>
    <xf numFmtId="0" fontId="25" fillId="34" borderId="20" xfId="0" applyFont="1" applyFill="1" applyBorder="1" applyAlignment="1">
      <alignment horizontal="left" vertical="center" wrapText="1"/>
    </xf>
    <xf numFmtId="0" fontId="25" fillId="34" borderId="29" xfId="0" applyFont="1" applyFill="1" applyBorder="1" applyAlignment="1">
      <alignment horizontal="center" vertical="center"/>
    </xf>
    <xf numFmtId="0" fontId="25" fillId="34" borderId="20" xfId="0" applyFont="1" applyFill="1" applyBorder="1" applyAlignment="1">
      <alignment horizontal="center" vertical="center"/>
    </xf>
    <xf numFmtId="0" fontId="25" fillId="34" borderId="11" xfId="0" applyFont="1" applyFill="1" applyBorder="1" applyAlignment="1">
      <alignment horizontal="center" vertical="center"/>
    </xf>
    <xf numFmtId="168" fontId="44" fillId="34" borderId="29" xfId="167" applyNumberFormat="1" applyFont="1" applyFill="1" applyBorder="1" applyAlignment="1">
      <alignment horizontal="left" vertical="center" wrapText="1"/>
    </xf>
    <xf numFmtId="168" fontId="44" fillId="34" borderId="20" xfId="167" applyNumberFormat="1" applyFont="1" applyFill="1" applyBorder="1" applyAlignment="1">
      <alignment horizontal="left" vertical="center" wrapText="1"/>
    </xf>
    <xf numFmtId="168" fontId="44" fillId="34" borderId="11" xfId="167" applyNumberFormat="1" applyFont="1" applyFill="1" applyBorder="1" applyAlignment="1">
      <alignment horizontal="left" vertical="center" wrapText="1"/>
    </xf>
    <xf numFmtId="0" fontId="25" fillId="35" borderId="29" xfId="0" applyFont="1" applyFill="1" applyBorder="1" applyAlignment="1">
      <alignment horizontal="left" vertical="center"/>
    </xf>
    <xf numFmtId="0" fontId="25" fillId="35" borderId="20" xfId="0" applyFont="1" applyFill="1" applyBorder="1" applyAlignment="1">
      <alignment horizontal="left" vertical="center"/>
    </xf>
    <xf numFmtId="0" fontId="25" fillId="35" borderId="11" xfId="0" applyFont="1" applyFill="1" applyBorder="1" applyAlignment="1">
      <alignment horizontal="left" vertical="center"/>
    </xf>
    <xf numFmtId="169" fontId="25" fillId="35" borderId="29" xfId="153" applyNumberFormat="1" applyFont="1" applyFill="1" applyBorder="1" applyAlignment="1">
      <alignment horizontal="left" vertical="center"/>
    </xf>
    <xf numFmtId="169" fontId="25" fillId="35" borderId="20" xfId="153" applyNumberFormat="1" applyFont="1" applyFill="1" applyBorder="1" applyAlignment="1">
      <alignment horizontal="left" vertical="center"/>
    </xf>
    <xf numFmtId="169" fontId="25" fillId="35" borderId="11" xfId="153" applyNumberFormat="1" applyFont="1" applyFill="1" applyBorder="1" applyAlignment="1">
      <alignment horizontal="left" vertical="center"/>
    </xf>
    <xf numFmtId="168" fontId="34" fillId="34" borderId="21" xfId="167" applyNumberFormat="1" applyFont="1" applyFill="1" applyBorder="1" applyAlignment="1">
      <alignment horizontal="center" vertical="center" wrapText="1"/>
    </xf>
    <xf numFmtId="2" fontId="25" fillId="34" borderId="29" xfId="167" applyNumberFormat="1" applyFont="1" applyFill="1" applyBorder="1" applyAlignment="1">
      <alignment horizontal="left" vertical="center" wrapText="1"/>
    </xf>
    <xf numFmtId="2" fontId="25" fillId="34" borderId="20" xfId="167" applyNumberFormat="1" applyFont="1" applyFill="1" applyBorder="1" applyAlignment="1">
      <alignment horizontal="left" vertical="center" wrapText="1"/>
    </xf>
    <xf numFmtId="2" fontId="25" fillId="34" borderId="11" xfId="167" applyNumberFormat="1" applyFont="1" applyFill="1" applyBorder="1" applyAlignment="1">
      <alignment horizontal="left" vertical="center" wrapText="1"/>
    </xf>
    <xf numFmtId="2" fontId="25" fillId="33" borderId="29" xfId="167" applyNumberFormat="1" applyFont="1" applyFill="1" applyBorder="1" applyAlignment="1">
      <alignment horizontal="left" vertical="center" wrapText="1"/>
    </xf>
    <xf numFmtId="2" fontId="25" fillId="33" borderId="11" xfId="167" applyNumberFormat="1" applyFont="1" applyFill="1" applyBorder="1" applyAlignment="1">
      <alignment horizontal="left" vertical="center" wrapText="1"/>
    </xf>
    <xf numFmtId="0" fontId="34" fillId="25" borderId="22" xfId="167" applyFont="1" applyFill="1" applyBorder="1" applyAlignment="1">
      <alignment horizontal="left" vertical="center"/>
    </xf>
    <xf numFmtId="0" fontId="34" fillId="25" borderId="35" xfId="167" applyFont="1" applyFill="1" applyBorder="1" applyAlignment="1">
      <alignment horizontal="left" vertical="center"/>
    </xf>
    <xf numFmtId="0" fontId="34" fillId="25" borderId="28" xfId="167" applyFont="1" applyFill="1" applyBorder="1" applyAlignment="1">
      <alignment horizontal="left" vertical="center"/>
    </xf>
    <xf numFmtId="0" fontId="34" fillId="36" borderId="22" xfId="167" applyFont="1" applyFill="1" applyBorder="1" applyAlignment="1">
      <alignment horizontal="center" vertical="center" wrapText="1"/>
    </xf>
    <xf numFmtId="0" fontId="34" fillId="36" borderId="28" xfId="167" applyFont="1" applyFill="1" applyBorder="1" applyAlignment="1">
      <alignment horizontal="center" vertical="center" wrapText="1"/>
    </xf>
    <xf numFmtId="170" fontId="25" fillId="34" borderId="29" xfId="118" applyNumberFormat="1" applyFont="1" applyFill="1" applyBorder="1" applyAlignment="1">
      <alignment horizontal="left" vertical="center" wrapText="1"/>
    </xf>
    <xf numFmtId="170" fontId="25" fillId="34" borderId="11" xfId="118" applyNumberFormat="1" applyFont="1" applyFill="1" applyBorder="1" applyAlignment="1">
      <alignment horizontal="left" vertical="center" wrapText="1"/>
    </xf>
    <xf numFmtId="170" fontId="25" fillId="35" borderId="29" xfId="118" applyNumberFormat="1" applyFont="1" applyFill="1" applyBorder="1" applyAlignment="1">
      <alignment horizontal="left" vertical="center" wrapText="1"/>
    </xf>
    <xf numFmtId="170" fontId="25" fillId="35" borderId="11" xfId="118" applyNumberFormat="1" applyFont="1" applyFill="1" applyBorder="1" applyAlignment="1">
      <alignment horizontal="left" vertical="center" wrapText="1"/>
    </xf>
    <xf numFmtId="170" fontId="25" fillId="35" borderId="29" xfId="118" applyNumberFormat="1" applyFont="1" applyFill="1" applyBorder="1" applyAlignment="1">
      <alignment horizontal="center" vertical="center" wrapText="1"/>
    </xf>
    <xf numFmtId="170" fontId="25" fillId="35" borderId="20" xfId="118" applyNumberFormat="1" applyFont="1" applyFill="1" applyBorder="1" applyAlignment="1">
      <alignment horizontal="center" vertical="center" wrapText="1"/>
    </xf>
    <xf numFmtId="0" fontId="44" fillId="34" borderId="29" xfId="0" applyFont="1" applyFill="1" applyBorder="1" applyAlignment="1">
      <alignment horizontal="left" vertical="center" wrapText="1"/>
    </xf>
    <xf numFmtId="0" fontId="44" fillId="34" borderId="20" xfId="0" applyFont="1" applyFill="1" applyBorder="1" applyAlignment="1">
      <alignment horizontal="left" vertical="center" wrapText="1"/>
    </xf>
    <xf numFmtId="0" fontId="44" fillId="34" borderId="11" xfId="0" applyFont="1" applyFill="1" applyBorder="1" applyAlignment="1">
      <alignment horizontal="left" vertical="center" wrapText="1"/>
    </xf>
    <xf numFmtId="170" fontId="25" fillId="34" borderId="29" xfId="118" applyNumberFormat="1" applyFont="1" applyFill="1" applyBorder="1" applyAlignment="1">
      <alignment horizontal="center" vertical="center"/>
    </xf>
    <xf numFmtId="170" fontId="25" fillId="34" borderId="11" xfId="118" applyNumberFormat="1" applyFont="1" applyFill="1" applyBorder="1" applyAlignment="1">
      <alignment horizontal="center" vertical="center"/>
    </xf>
    <xf numFmtId="170" fontId="25" fillId="34" borderId="39" xfId="118" applyNumberFormat="1" applyFont="1" applyFill="1" applyBorder="1" applyAlignment="1">
      <alignment horizontal="center" vertical="center"/>
    </xf>
    <xf numFmtId="170" fontId="25" fillId="34" borderId="36" xfId="118" applyNumberFormat="1" applyFont="1" applyFill="1" applyBorder="1" applyAlignment="1">
      <alignment horizontal="center" vertical="center"/>
    </xf>
    <xf numFmtId="2" fontId="25" fillId="35" borderId="29" xfId="167" applyNumberFormat="1" applyFont="1" applyFill="1" applyBorder="1" applyAlignment="1">
      <alignment horizontal="left" vertical="center" wrapText="1"/>
    </xf>
    <xf numFmtId="2" fontId="25" fillId="35" borderId="20" xfId="167" applyNumberFormat="1" applyFont="1" applyFill="1" applyBorder="1" applyAlignment="1">
      <alignment horizontal="left" vertical="center" wrapText="1"/>
    </xf>
    <xf numFmtId="168" fontId="25" fillId="35" borderId="29" xfId="167" applyNumberFormat="1" applyFont="1" applyFill="1" applyBorder="1" applyAlignment="1">
      <alignment horizontal="center" vertical="center" wrapText="1"/>
    </xf>
    <xf numFmtId="168" fontId="25" fillId="35" borderId="11" xfId="167" applyNumberFormat="1" applyFont="1" applyFill="1" applyBorder="1" applyAlignment="1">
      <alignment horizontal="center" vertical="center" wrapText="1"/>
    </xf>
    <xf numFmtId="0" fontId="25" fillId="35" borderId="9" xfId="167" applyFont="1" applyFill="1" applyBorder="1" applyAlignment="1">
      <alignment horizontal="left" vertical="center" wrapText="1"/>
    </xf>
    <xf numFmtId="0" fontId="25" fillId="35" borderId="40" xfId="167" applyFont="1" applyFill="1" applyBorder="1" applyAlignment="1">
      <alignment horizontal="left" vertical="center" wrapText="1"/>
    </xf>
    <xf numFmtId="0" fontId="25" fillId="35" borderId="37" xfId="167" applyFont="1" applyFill="1" applyBorder="1" applyAlignment="1">
      <alignment horizontal="left" vertical="center" wrapText="1"/>
    </xf>
    <xf numFmtId="0" fontId="34" fillId="35" borderId="11" xfId="167" applyFont="1" applyFill="1" applyBorder="1" applyAlignment="1">
      <alignment horizontal="left" vertical="center" wrapText="1"/>
    </xf>
    <xf numFmtId="0" fontId="25" fillId="33" borderId="20" xfId="0" applyFont="1" applyFill="1" applyBorder="1" applyAlignment="1">
      <alignment horizontal="center" vertical="center" wrapText="1"/>
    </xf>
    <xf numFmtId="0" fontId="25" fillId="33" borderId="11" xfId="0" applyFont="1" applyFill="1" applyBorder="1" applyAlignment="1">
      <alignment horizontal="center" vertical="center" wrapText="1"/>
    </xf>
    <xf numFmtId="0" fontId="34" fillId="0" borderId="36" xfId="167" applyFont="1" applyBorder="1" applyAlignment="1">
      <alignment horizontal="left" vertical="center" wrapText="1"/>
    </xf>
    <xf numFmtId="0" fontId="49" fillId="44" borderId="22" xfId="0" applyFont="1" applyFill="1" applyBorder="1" applyAlignment="1">
      <alignment horizontal="left" vertical="center" wrapText="1"/>
    </xf>
    <xf numFmtId="0" fontId="49" fillId="44" borderId="35" xfId="0" applyFont="1" applyFill="1" applyBorder="1" applyAlignment="1">
      <alignment horizontal="left" vertical="center" wrapText="1"/>
    </xf>
    <xf numFmtId="0" fontId="49" fillId="44" borderId="28" xfId="0" applyFont="1" applyFill="1" applyBorder="1" applyAlignment="1">
      <alignment horizontal="left" vertical="center" wrapText="1"/>
    </xf>
    <xf numFmtId="0" fontId="25" fillId="35" borderId="21" xfId="0" applyFont="1" applyFill="1" applyBorder="1" applyAlignment="1">
      <alignment horizontal="left" vertical="center" wrapText="1"/>
    </xf>
    <xf numFmtId="170" fontId="25" fillId="35" borderId="29" xfId="118" applyNumberFormat="1" applyFont="1" applyFill="1" applyBorder="1" applyAlignment="1">
      <alignment horizontal="center" vertical="center"/>
    </xf>
    <xf numFmtId="170" fontId="25" fillId="35" borderId="20" xfId="118" applyNumberFormat="1" applyFont="1" applyFill="1" applyBorder="1" applyAlignment="1">
      <alignment horizontal="center" vertical="center"/>
    </xf>
    <xf numFmtId="170" fontId="25" fillId="35" borderId="11" xfId="118" applyNumberFormat="1" applyFont="1" applyFill="1" applyBorder="1" applyAlignment="1">
      <alignment horizontal="center" vertical="center"/>
    </xf>
    <xf numFmtId="0" fontId="46" fillId="0" borderId="36" xfId="0" applyFont="1" applyBorder="1" applyAlignment="1">
      <alignment horizontal="left" vertical="center"/>
    </xf>
    <xf numFmtId="49" fontId="25" fillId="0" borderId="0" xfId="0" applyNumberFormat="1" applyFont="1" applyAlignment="1">
      <alignment horizontal="left" vertical="center" wrapText="1"/>
    </xf>
    <xf numFmtId="0" fontId="25" fillId="35" borderId="29" xfId="0" applyFont="1" applyFill="1" applyBorder="1" applyAlignment="1">
      <alignment horizontal="left" vertical="top" wrapText="1"/>
    </xf>
    <xf numFmtId="0" fontId="25" fillId="35" borderId="20" xfId="0" applyFont="1" applyFill="1" applyBorder="1" applyAlignment="1">
      <alignment horizontal="left" vertical="top" wrapText="1"/>
    </xf>
    <xf numFmtId="0" fontId="25" fillId="35" borderId="11" xfId="0" applyFont="1" applyFill="1" applyBorder="1" applyAlignment="1">
      <alignment horizontal="left" vertical="top" wrapText="1"/>
    </xf>
    <xf numFmtId="0" fontId="20" fillId="33" borderId="29" xfId="0" applyFont="1" applyFill="1" applyBorder="1" applyAlignment="1">
      <alignment horizontal="left" vertical="center" wrapText="1"/>
    </xf>
    <xf numFmtId="0" fontId="20" fillId="33" borderId="11" xfId="0" applyFont="1" applyFill="1" applyBorder="1" applyAlignment="1">
      <alignment horizontal="left" vertical="center" wrapText="1"/>
    </xf>
    <xf numFmtId="0" fontId="44" fillId="33" borderId="29" xfId="0" applyFont="1" applyFill="1" applyBorder="1" applyAlignment="1">
      <alignment horizontal="left" vertical="center" wrapText="1"/>
    </xf>
    <xf numFmtId="0" fontId="44" fillId="33" borderId="20" xfId="0" applyFont="1" applyFill="1" applyBorder="1" applyAlignment="1">
      <alignment horizontal="left" vertical="center" wrapText="1"/>
    </xf>
    <xf numFmtId="0" fontId="44" fillId="33" borderId="11" xfId="0" applyFont="1" applyFill="1" applyBorder="1" applyAlignment="1">
      <alignment horizontal="left" vertical="center" wrapText="1"/>
    </xf>
  </cellXfs>
  <cellStyles count="232">
    <cellStyle name="20% - Accent1 2" xfId="1"/>
    <cellStyle name="20% - Accent1 3" xfId="2"/>
    <cellStyle name="20% - Accent1 4" xfId="3"/>
    <cellStyle name="20% - Accent2 2" xfId="4"/>
    <cellStyle name="20% - Accent2 3" xfId="5"/>
    <cellStyle name="20% - Accent2 4" xfId="6"/>
    <cellStyle name="20% - Accent3 2" xfId="7"/>
    <cellStyle name="20% - Accent3 3" xfId="8"/>
    <cellStyle name="20% - Accent3 4" xfId="9"/>
    <cellStyle name="20% - Accent4 2" xfId="10"/>
    <cellStyle name="20% - Accent4 3" xfId="11"/>
    <cellStyle name="20% - Accent4 4" xfId="12"/>
    <cellStyle name="20% - Accent5 2" xfId="13"/>
    <cellStyle name="20% - Accent5 3" xfId="14"/>
    <cellStyle name="20% - Accent5 4" xfId="15"/>
    <cellStyle name="20% - Accent6 2" xfId="16"/>
    <cellStyle name="20% - Accent6 3" xfId="17"/>
    <cellStyle name="20% - Accent6 4" xfId="18"/>
    <cellStyle name="40% - Accent1 2" xfId="19"/>
    <cellStyle name="40% - Accent1 3" xfId="20"/>
    <cellStyle name="40% - Accent1 4" xfId="21"/>
    <cellStyle name="40% - Accent2 2" xfId="22"/>
    <cellStyle name="40% - Accent2 3" xfId="23"/>
    <cellStyle name="40% - Accent2 4" xfId="24"/>
    <cellStyle name="40% - Accent3 2" xfId="25"/>
    <cellStyle name="40% - Accent3 3" xfId="26"/>
    <cellStyle name="40% - Accent3 4" xfId="27"/>
    <cellStyle name="40% - Accent4 2" xfId="28"/>
    <cellStyle name="40% - Accent4 3" xfId="29"/>
    <cellStyle name="40% - Accent4 4" xfId="30"/>
    <cellStyle name="40% - Accent5 2" xfId="31"/>
    <cellStyle name="40% - Accent5 3" xfId="32"/>
    <cellStyle name="40% - Accent5 4" xfId="33"/>
    <cellStyle name="40% - Accent6 2" xfId="34"/>
    <cellStyle name="40% - Accent6 3" xfId="35"/>
    <cellStyle name="40% - Accent6 4" xfId="36"/>
    <cellStyle name="60% - Accent1 2" xfId="37"/>
    <cellStyle name="60% - Accent1 3" xfId="38"/>
    <cellStyle name="60% - Accent1 4" xfId="39"/>
    <cellStyle name="60% - Accent2 2" xfId="40"/>
    <cellStyle name="60% - Accent2 3" xfId="41"/>
    <cellStyle name="60% - Accent2 4" xfId="42"/>
    <cellStyle name="60% - Accent3 2" xfId="43"/>
    <cellStyle name="60% - Accent3 3" xfId="44"/>
    <cellStyle name="60% - Accent3 4" xfId="45"/>
    <cellStyle name="60% - Accent4 2" xfId="46"/>
    <cellStyle name="60% - Accent4 3" xfId="47"/>
    <cellStyle name="60% - Accent4 4" xfId="48"/>
    <cellStyle name="60% - Accent5 2" xfId="49"/>
    <cellStyle name="60% - Accent5 3" xfId="50"/>
    <cellStyle name="60% - Accent5 4" xfId="51"/>
    <cellStyle name="60% - Accent6 2" xfId="52"/>
    <cellStyle name="60% - Accent6 3" xfId="53"/>
    <cellStyle name="60% - Accent6 4" xfId="54"/>
    <cellStyle name="Accent1 2" xfId="55"/>
    <cellStyle name="Accent1 3" xfId="56"/>
    <cellStyle name="Accent1 4" xfId="57"/>
    <cellStyle name="Accent2 2" xfId="58"/>
    <cellStyle name="Accent2 3" xfId="59"/>
    <cellStyle name="Accent2 4" xfId="60"/>
    <cellStyle name="Accent3 2" xfId="61"/>
    <cellStyle name="Accent3 3" xfId="62"/>
    <cellStyle name="Accent3 4" xfId="63"/>
    <cellStyle name="Accent4 2" xfId="64"/>
    <cellStyle name="Accent4 3" xfId="65"/>
    <cellStyle name="Accent4 4" xfId="66"/>
    <cellStyle name="Accent5 2" xfId="67"/>
    <cellStyle name="Accent5 3" xfId="68"/>
    <cellStyle name="Accent5 4" xfId="69"/>
    <cellStyle name="Accent6 2" xfId="70"/>
    <cellStyle name="Accent6 3" xfId="71"/>
    <cellStyle name="Accent6 4" xfId="72"/>
    <cellStyle name="Bad 2" xfId="73"/>
    <cellStyle name="Bad 3" xfId="74"/>
    <cellStyle name="Bad 4" xfId="75"/>
    <cellStyle name="Calculation 2" xfId="76"/>
    <cellStyle name="Calculation 2 2" xfId="77"/>
    <cellStyle name="Calculation 3" xfId="78"/>
    <cellStyle name="Calculation 3 2" xfId="79"/>
    <cellStyle name="Calculation 4" xfId="80"/>
    <cellStyle name="Calculation 4 2" xfId="81"/>
    <cellStyle name="Check Cell 2" xfId="82"/>
    <cellStyle name="Check Cell 3" xfId="83"/>
    <cellStyle name="Check Cell 4" xfId="84"/>
    <cellStyle name="Comma" xfId="153" builtinId="3"/>
    <cellStyle name="Comma 2" xfId="85"/>
    <cellStyle name="Comma 2 2" xfId="86"/>
    <cellStyle name="Comma 2 2 2" xfId="87"/>
    <cellStyle name="Comma 2 2 3" xfId="88"/>
    <cellStyle name="Comma 2 2 3 2" xfId="89"/>
    <cellStyle name="Comma 2 2 3 2 2" xfId="90"/>
    <cellStyle name="Comma 2 2 3 2 2 2" xfId="91"/>
    <cellStyle name="Comma 2 2 3 2 3" xfId="92"/>
    <cellStyle name="Comma 2 2 3 2 3 2" xfId="93"/>
    <cellStyle name="Comma 2 2 3 2 4" xfId="94"/>
    <cellStyle name="Comma 2 2 4" xfId="95"/>
    <cellStyle name="Comma 2 2 5" xfId="96"/>
    <cellStyle name="Comma 2 3" xfId="97"/>
    <cellStyle name="Comma 2 4" xfId="98"/>
    <cellStyle name="Comma 2 4 2" xfId="99"/>
    <cellStyle name="Comma 2 4 2 2" xfId="100"/>
    <cellStyle name="Comma 2 4 3" xfId="101"/>
    <cellStyle name="Comma 2 5" xfId="102"/>
    <cellStyle name="Comma 2 6" xfId="103"/>
    <cellStyle name="Comma 2 7" xfId="104"/>
    <cellStyle name="Comma 2 7 2" xfId="105"/>
    <cellStyle name="Comma 2 7 3" xfId="106"/>
    <cellStyle name="Comma 2 8" xfId="107"/>
    <cellStyle name="Comma 3" xfId="108"/>
    <cellStyle name="Comma 3 2" xfId="109"/>
    <cellStyle name="Comma 3 2 2" xfId="110"/>
    <cellStyle name="Comma 3 3" xfId="111"/>
    <cellStyle name="Comma 3 4" xfId="112"/>
    <cellStyle name="Comma 4" xfId="113"/>
    <cellStyle name="Comma 4 2" xfId="114"/>
    <cellStyle name="Comma 4 2 2" xfId="115"/>
    <cellStyle name="Comma 4 3" xfId="116"/>
    <cellStyle name="Comma 5" xfId="117"/>
    <cellStyle name="Comma 6" xfId="118"/>
    <cellStyle name="Comma 7" xfId="119"/>
    <cellStyle name="Comma 8" xfId="120"/>
    <cellStyle name="Comma 8 2" xfId="121"/>
    <cellStyle name="Comma 9" xfId="122"/>
    <cellStyle name="Currency 2" xfId="123"/>
    <cellStyle name="Currency 2 2" xfId="124"/>
    <cellStyle name="Currency 3" xfId="125"/>
    <cellStyle name="Explanatory Text 2" xfId="126"/>
    <cellStyle name="Explanatory Text 3" xfId="127"/>
    <cellStyle name="Explanatory Text 4" xfId="128"/>
    <cellStyle name="Good 2" xfId="129"/>
    <cellStyle name="Good 3" xfId="130"/>
    <cellStyle name="Good 4" xfId="131"/>
    <cellStyle name="Heading 1 2" xfId="132"/>
    <cellStyle name="Heading 1 3" xfId="133"/>
    <cellStyle name="Heading 1 4" xfId="134"/>
    <cellStyle name="Heading 2 2" xfId="135"/>
    <cellStyle name="Heading 2 3" xfId="136"/>
    <cellStyle name="Heading 2 4" xfId="137"/>
    <cellStyle name="Heading 3 2" xfId="138"/>
    <cellStyle name="Heading 3 3" xfId="139"/>
    <cellStyle name="Heading 3 4" xfId="140"/>
    <cellStyle name="Heading 4 2" xfId="141"/>
    <cellStyle name="Heading 4 3" xfId="142"/>
    <cellStyle name="Heading 4 4" xfId="143"/>
    <cellStyle name="Input 2" xfId="144"/>
    <cellStyle name="Input 2 2" xfId="145"/>
    <cellStyle name="Input 3" xfId="146"/>
    <cellStyle name="Input 3 2" xfId="147"/>
    <cellStyle name="Input 4" xfId="148"/>
    <cellStyle name="Input 4 2" xfId="149"/>
    <cellStyle name="Linked Cell 2" xfId="150"/>
    <cellStyle name="Linked Cell 3" xfId="151"/>
    <cellStyle name="Linked Cell 4" xfId="152"/>
    <cellStyle name="Neutral 2" xfId="154"/>
    <cellStyle name="Neutral 3" xfId="155"/>
    <cellStyle name="Neutral 4" xfId="156"/>
    <cellStyle name="Normal" xfId="0" builtinId="0"/>
    <cellStyle name="Normal 10" xfId="157"/>
    <cellStyle name="Normal 11" xfId="158"/>
    <cellStyle name="Normal 11 2" xfId="159"/>
    <cellStyle name="Normal 2" xfId="160"/>
    <cellStyle name="Normal 3" xfId="161"/>
    <cellStyle name="Normal 3 2" xfId="162"/>
    <cellStyle name="Normal 3 2 2" xfId="163"/>
    <cellStyle name="Normal 3 2 2 2" xfId="164"/>
    <cellStyle name="Normal 3 2 2 3" xfId="165"/>
    <cellStyle name="Normal 3 2 3" xfId="166"/>
    <cellStyle name="Normal 3 2 3 2" xfId="167"/>
    <cellStyle name="Normal 3 2 3 2 2" xfId="168"/>
    <cellStyle name="Normal 3 2 3 2 3" xfId="169"/>
    <cellStyle name="Normal 3 2 3 2 3 2" xfId="170"/>
    <cellStyle name="Normal 3 2 3 2 4" xfId="171"/>
    <cellStyle name="Normal 3 2 3 2 4 2" xfId="172"/>
    <cellStyle name="Normal 3 2 3 2 5" xfId="173"/>
    <cellStyle name="Normal 3 2 3 2 6" xfId="174"/>
    <cellStyle name="Normal 3 2 3 2 6 2" xfId="175"/>
    <cellStyle name="Normal 3 2 3 2 6 3" xfId="176"/>
    <cellStyle name="Normal 3 2 4" xfId="177"/>
    <cellStyle name="Normal 3 2 5" xfId="178"/>
    <cellStyle name="Normal 3 3" xfId="179"/>
    <cellStyle name="Normal 3 4" xfId="180"/>
    <cellStyle name="Normal 3 4 2" xfId="181"/>
    <cellStyle name="Normal 3 4 2 2" xfId="182"/>
    <cellStyle name="Normal 3 4 3" xfId="183"/>
    <cellStyle name="Normal 3 5" xfId="184"/>
    <cellStyle name="Normal 3 6" xfId="185"/>
    <cellStyle name="Normal 3 6 2" xfId="186"/>
    <cellStyle name="Normal 3 6 3" xfId="187"/>
    <cellStyle name="Normal 3 7" xfId="188"/>
    <cellStyle name="Normal 4" xfId="189"/>
    <cellStyle name="Normal 5" xfId="190"/>
    <cellStyle name="Normal 6" xfId="191"/>
    <cellStyle name="Normal 7" xfId="192"/>
    <cellStyle name="Normal 7 2" xfId="193"/>
    <cellStyle name="Normal 8" xfId="194"/>
    <cellStyle name="Normal 8 2" xfId="195"/>
    <cellStyle name="Normal 9" xfId="196"/>
    <cellStyle name="Normal 9 2" xfId="197"/>
    <cellStyle name="Note 2" xfId="198"/>
    <cellStyle name="Note 2 2" xfId="199"/>
    <cellStyle name="Note 3" xfId="200"/>
    <cellStyle name="Note 3 2" xfId="201"/>
    <cellStyle name="Note 4" xfId="202"/>
    <cellStyle name="Note 4 2" xfId="203"/>
    <cellStyle name="Output 2" xfId="204"/>
    <cellStyle name="Output 2 2" xfId="205"/>
    <cellStyle name="Output 3" xfId="206"/>
    <cellStyle name="Output 3 2" xfId="207"/>
    <cellStyle name="Output 4" xfId="208"/>
    <cellStyle name="Output 4 2" xfId="209"/>
    <cellStyle name="Percent 2" xfId="210"/>
    <cellStyle name="Percent 2 2" xfId="211"/>
    <cellStyle name="Percent 2 3" xfId="212"/>
    <cellStyle name="Percent 3" xfId="213"/>
    <cellStyle name="Percent 3 2" xfId="214"/>
    <cellStyle name="Percent 4" xfId="215"/>
    <cellStyle name="Percent 5" xfId="216"/>
    <cellStyle name="Percent 6" xfId="217"/>
    <cellStyle name="Style 1" xfId="218"/>
    <cellStyle name="Style 1 2" xfId="219"/>
    <cellStyle name="Title 2" xfId="220"/>
    <cellStyle name="Title 3" xfId="221"/>
    <cellStyle name="Title 4" xfId="222"/>
    <cellStyle name="Total 2" xfId="223"/>
    <cellStyle name="Total 2 2" xfId="224"/>
    <cellStyle name="Total 3" xfId="225"/>
    <cellStyle name="Total 3 2" xfId="226"/>
    <cellStyle name="Total 4" xfId="227"/>
    <cellStyle name="Total 4 2" xfId="228"/>
    <cellStyle name="Warning Text 2" xfId="229"/>
    <cellStyle name="Warning Text 3" xfId="230"/>
    <cellStyle name="Warning Text 4" xfId="2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crieru\AppData\Local\Microsoft\Windows\Temporary%20Internet%20Files\Content.Outlook\6Q4PUN0F\UN-REDD%20Personnel%20list_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ebbej\AppData\Local\Temp\notes21E329\UN-REDD%20Personnel%20list_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vahanen\Local%20Settings\Temporary%20Internet%20Files\Content.Outlook\H3T122T9\Allocations%20%25%20per%20work%20area%2015%2012%20201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7%20-%202020%20Programme%20Documents\2018%20-%202020%20Programming\Financial%20templates\2018%20-%202020%20master%20budget%20sheet%201%20June%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ecrieru\AppData\Local\Microsoft\Windows\Temporary%20Internet%20Files\Content.Outlook\OFP611K3\2019%20Budget%20analysis%2012%20June%202018%20hidden%202018%20and%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cretariat\Budget%202018-2020\Template%20-%202019%20work%20plan%20and%20budget%20at%20output%20lev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ecrieru\AppData\Local\Microsoft\Windows\Temporary%20Internet%20Files\Content.Outlook\OFP611K3\PNUD%20KM%20budget%20with%20budget%20addendum%20for%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ecrieru\AppData\Local\Microsoft\Windows\Temporary%20Internet%20Files\Content.Outlook\OFP611K3\UNDP%20KM%20budget%20with%20budget%20addendum%20fo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nsl. List 2015"/>
      <sheetName val="FAO"/>
      <sheetName val="UNDP"/>
      <sheetName val="UNEP"/>
      <sheetName val="Full consl list for MG"/>
      <sheetName val="Sheet3"/>
      <sheetName val="Sheet4"/>
      <sheetName val="Sheet5"/>
      <sheetName val="Sheet1"/>
      <sheetName val="Sheet10"/>
      <sheetName val="Sheet6"/>
      <sheetName val="Summarized List"/>
      <sheetName val="Sheet8"/>
      <sheetName val="Sheet11"/>
      <sheetName val="Summarized List (2)"/>
    </sheetNames>
    <sheetDataSet>
      <sheetData sheetId="0">
        <row r="4">
          <cell r="D4" t="str">
            <v>SNA-GP</v>
          </cell>
          <cell r="G4" t="str">
            <v>ASG</v>
          </cell>
        </row>
        <row r="5">
          <cell r="D5" t="str">
            <v>NP</v>
          </cell>
          <cell r="G5" t="str">
            <v>Director</v>
          </cell>
        </row>
        <row r="6">
          <cell r="D6" t="str">
            <v>JPO funds</v>
          </cell>
          <cell r="G6" t="str">
            <v>Professional Staff</v>
          </cell>
        </row>
        <row r="7">
          <cell r="D7" t="str">
            <v>Other</v>
          </cell>
          <cell r="G7" t="str">
            <v>Support Staff</v>
          </cell>
        </row>
        <row r="8">
          <cell r="G8" t="str">
            <v>Consl.&gt; 6 months</v>
          </cell>
        </row>
        <row r="9">
          <cell r="G9" t="str">
            <v>Consl. &lt; 6 months</v>
          </cell>
        </row>
        <row r="10">
          <cell r="G10" t="str">
            <v>UNV</v>
          </cell>
        </row>
        <row r="11">
          <cell r="G11" t="str">
            <v>Intern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nsl. List 2015"/>
      <sheetName val="FAO"/>
      <sheetName val="UNDP"/>
      <sheetName val="UNEP"/>
      <sheetName val="Full consl list for MG"/>
      <sheetName val="Sheet3"/>
      <sheetName val="Sheet4"/>
      <sheetName val="Sheet5"/>
      <sheetName val="Sheet1"/>
      <sheetName val="Sheet10"/>
      <sheetName val="Sheet6"/>
      <sheetName val="Summarized List"/>
      <sheetName val="Sheet8"/>
      <sheetName val="Sheet11"/>
      <sheetName val="Summarized List (2)"/>
    </sheetNames>
    <sheetDataSet>
      <sheetData sheetId="0">
        <row r="4">
          <cell r="D4" t="str">
            <v>SNA-GP</v>
          </cell>
          <cell r="G4" t="str">
            <v>ASG</v>
          </cell>
        </row>
        <row r="5">
          <cell r="D5" t="str">
            <v>NP</v>
          </cell>
          <cell r="G5" t="str">
            <v>Director</v>
          </cell>
        </row>
        <row r="6">
          <cell r="D6" t="str">
            <v>JPO funds</v>
          </cell>
          <cell r="G6" t="str">
            <v>Professional Staff</v>
          </cell>
        </row>
        <row r="7">
          <cell r="D7" t="str">
            <v>Other</v>
          </cell>
          <cell r="G7" t="str">
            <v>Support Staff</v>
          </cell>
        </row>
        <row r="8">
          <cell r="G8" t="str">
            <v>Consl.&gt; 6 months</v>
          </cell>
        </row>
        <row r="9">
          <cell r="G9" t="str">
            <v>Consl. &lt; 6 months</v>
          </cell>
        </row>
        <row r="10">
          <cell r="G10" t="str">
            <v>UNV</v>
          </cell>
        </row>
        <row r="11">
          <cell r="G11" t="str">
            <v>Intern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1 chart"/>
      <sheetName val="Global Programme 1"/>
      <sheetName val="GP1 data"/>
      <sheetName val="5 y framework"/>
      <sheetName val="Secretariat"/>
      <sheetName val="Sheet4"/>
      <sheetName val="Sheet1"/>
      <sheetName val="GP1_chart"/>
      <sheetName val="Global_Programme_1"/>
      <sheetName val="GP1_data"/>
      <sheetName val="5_y_framework"/>
    </sheetNames>
    <sheetDataSet>
      <sheetData sheetId="0" refreshError="1"/>
      <sheetData sheetId="1" refreshError="1"/>
      <sheetData sheetId="2">
        <row r="10">
          <cell r="F10">
            <v>6782705.3120833328</v>
          </cell>
        </row>
      </sheetData>
      <sheetData sheetId="3"/>
      <sheetData sheetId="4"/>
      <sheetData sheetId="5"/>
      <sheetData sheetId="6"/>
      <sheetData sheetId="7"/>
      <sheetData sheetId="8"/>
      <sheetData sheetId="9">
        <row r="10">
          <cell r="F10">
            <v>6782705.3120833328</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l List (2)"/>
      <sheetName val="Consl List"/>
      <sheetName val="Consl - Countries"/>
      <sheetName val="Consl 2018-2020 WP &amp; Budget"/>
      <sheetName val="Africa"/>
      <sheetName val="Asia"/>
      <sheetName val="LAC"/>
      <sheetName val="Global Com"/>
      <sheetName val="FAO"/>
      <sheetName val="Global"/>
      <sheetName val="Sheet1"/>
    </sheetNames>
    <sheetDataSet>
      <sheetData sheetId="0" refreshError="1"/>
      <sheetData sheetId="1" refreshError="1"/>
      <sheetData sheetId="2" refreshError="1"/>
      <sheetData sheetId="3" refreshError="1"/>
      <sheetData sheetId="4">
        <row r="5">
          <cell r="G5">
            <v>0</v>
          </cell>
        </row>
        <row r="9">
          <cell r="G9">
            <v>0</v>
          </cell>
        </row>
        <row r="11">
          <cell r="G11">
            <v>0</v>
          </cell>
        </row>
      </sheetData>
      <sheetData sheetId="5">
        <row r="5">
          <cell r="F5">
            <v>0</v>
          </cell>
        </row>
        <row r="9">
          <cell r="F9">
            <v>0</v>
          </cell>
        </row>
        <row r="11">
          <cell r="F11">
            <v>0</v>
          </cell>
        </row>
      </sheetData>
      <sheetData sheetId="6">
        <row r="5">
          <cell r="F5">
            <v>0</v>
          </cell>
        </row>
        <row r="9">
          <cell r="F9">
            <v>0</v>
          </cell>
        </row>
        <row r="11">
          <cell r="F11">
            <v>0</v>
          </cell>
        </row>
      </sheetData>
      <sheetData sheetId="7">
        <row r="5">
          <cell r="F5">
            <v>100000</v>
          </cell>
        </row>
        <row r="9">
          <cell r="F9">
            <v>50000</v>
          </cell>
        </row>
        <row r="11">
          <cell r="F11">
            <v>50000</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 2020 Budget (2)"/>
    </sheetNames>
    <sheetDataSet>
      <sheetData sheetId="0">
        <row r="6">
          <cell r="F6">
            <v>202402</v>
          </cell>
          <cell r="G6">
            <v>352700</v>
          </cell>
          <cell r="H6">
            <v>95000</v>
          </cell>
          <cell r="N6">
            <v>202402</v>
          </cell>
          <cell r="O6">
            <v>338860</v>
          </cell>
          <cell r="P6">
            <v>95000</v>
          </cell>
          <cell r="Q6">
            <v>636262</v>
          </cell>
          <cell r="R6">
            <v>1816129</v>
          </cell>
        </row>
        <row r="7">
          <cell r="F7">
            <v>240352</v>
          </cell>
          <cell r="G7">
            <v>0</v>
          </cell>
          <cell r="H7">
            <v>0</v>
          </cell>
        </row>
        <row r="9">
          <cell r="F9">
            <v>217583</v>
          </cell>
          <cell r="G9">
            <v>36520</v>
          </cell>
          <cell r="H9">
            <v>94300</v>
          </cell>
        </row>
        <row r="11">
          <cell r="F11">
            <v>442755</v>
          </cell>
          <cell r="G11">
            <v>216620</v>
          </cell>
          <cell r="H11">
            <v>185000</v>
          </cell>
        </row>
        <row r="12">
          <cell r="F12">
            <v>189751</v>
          </cell>
          <cell r="G12">
            <v>171260</v>
          </cell>
          <cell r="H12">
            <v>46000</v>
          </cell>
        </row>
        <row r="13">
          <cell r="F13">
            <v>202402</v>
          </cell>
          <cell r="G13">
            <v>162420</v>
          </cell>
          <cell r="H13">
            <v>0</v>
          </cell>
          <cell r="N13">
            <v>202402</v>
          </cell>
          <cell r="O13">
            <v>148580</v>
          </cell>
          <cell r="P13">
            <v>0</v>
          </cell>
          <cell r="Q13">
            <v>350982</v>
          </cell>
          <cell r="R13">
            <v>1048630</v>
          </cell>
        </row>
        <row r="15">
          <cell r="F15">
            <v>227702</v>
          </cell>
          <cell r="G15">
            <v>244300</v>
          </cell>
          <cell r="H15">
            <v>58903</v>
          </cell>
        </row>
        <row r="16">
          <cell r="F16">
            <v>151801</v>
          </cell>
          <cell r="G16">
            <v>264480</v>
          </cell>
          <cell r="H16">
            <v>85126</v>
          </cell>
          <cell r="N16">
            <v>151801</v>
          </cell>
          <cell r="O16">
            <v>239300</v>
          </cell>
          <cell r="P16">
            <v>85126</v>
          </cell>
          <cell r="Q16">
            <v>476227</v>
          </cell>
          <cell r="R16">
            <v>1453433</v>
          </cell>
        </row>
        <row r="17">
          <cell r="F17">
            <v>113851</v>
          </cell>
          <cell r="G17">
            <v>428240</v>
          </cell>
          <cell r="H17">
            <v>93595</v>
          </cell>
          <cell r="N17">
            <v>113851</v>
          </cell>
          <cell r="O17">
            <v>414400</v>
          </cell>
          <cell r="P17">
            <v>93595</v>
          </cell>
          <cell r="Q17">
            <v>621846</v>
          </cell>
          <cell r="R17">
            <v>1897790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l List"/>
      <sheetName val="Consl - Countries"/>
      <sheetName val="Global"/>
      <sheetName val="Consl  Budget"/>
      <sheetName val="List by Agency"/>
      <sheetName val="2018 - 2020 Budget"/>
      <sheetName val="Cote D' Ivoire"/>
      <sheetName val="Colombia"/>
      <sheetName val="Indonesia"/>
      <sheetName val="Mexico"/>
      <sheetName val="Myanmar"/>
      <sheetName val="Peru"/>
      <sheetName val="Rep of Congo"/>
      <sheetName val="Viet Nam"/>
      <sheetName val="Zambia"/>
      <sheetName val="Cross cutting &amp; comms"/>
      <sheetName val="Finance &amp; Private Sector"/>
      <sheetName val="Landscapes Approach"/>
      <sheetName val="NFMS"/>
      <sheetName val="Paris Agrmt &amp; SDGs"/>
      <sheetName val="REDD+ Funding Mechanism"/>
      <sheetName val="Tenure &amp; IP Rights"/>
      <sheetName val="Sheet1"/>
      <sheetName val="Sheet3"/>
    </sheetNames>
    <sheetDataSet>
      <sheetData sheetId="0"/>
      <sheetData sheetId="1"/>
      <sheetData sheetId="2"/>
      <sheetData sheetId="3"/>
      <sheetData sheetId="4"/>
      <sheetData sheetId="5">
        <row r="3">
          <cell r="I3" t="str">
            <v>UNEP</v>
          </cell>
        </row>
        <row r="18">
          <cell r="G18">
            <v>210151</v>
          </cell>
          <cell r="H18">
            <v>0</v>
          </cell>
          <cell r="I18">
            <v>94000</v>
          </cell>
          <cell r="J18">
            <v>304151</v>
          </cell>
        </row>
        <row r="19">
          <cell r="G19">
            <v>0</v>
          </cell>
          <cell r="H19">
            <v>0</v>
          </cell>
          <cell r="I19">
            <v>467000</v>
          </cell>
          <cell r="J19">
            <v>467000</v>
          </cell>
          <cell r="O19">
            <v>1401000</v>
          </cell>
        </row>
        <row r="20">
          <cell r="G20">
            <v>208943</v>
          </cell>
          <cell r="H20">
            <v>518240</v>
          </cell>
          <cell r="I20">
            <v>0</v>
          </cell>
          <cell r="J20">
            <v>727183</v>
          </cell>
          <cell r="O20">
            <v>2158869</v>
          </cell>
        </row>
        <row r="21">
          <cell r="G21">
            <v>323203</v>
          </cell>
          <cell r="H21">
            <v>0</v>
          </cell>
          <cell r="I21">
            <v>0</v>
          </cell>
          <cell r="J21">
            <v>323203</v>
          </cell>
          <cell r="O21">
            <v>1029609</v>
          </cell>
        </row>
        <row r="22">
          <cell r="G22">
            <v>75000</v>
          </cell>
          <cell r="H22">
            <v>573600</v>
          </cell>
          <cell r="I22">
            <v>0</v>
          </cell>
          <cell r="J22">
            <v>648600</v>
          </cell>
        </row>
        <row r="23">
          <cell r="G23">
            <v>0</v>
          </cell>
          <cell r="H23">
            <v>430200</v>
          </cell>
          <cell r="I23">
            <v>0</v>
          </cell>
          <cell r="J23">
            <v>430200</v>
          </cell>
        </row>
        <row r="24">
          <cell r="C24">
            <v>0</v>
          </cell>
          <cell r="D24">
            <v>0</v>
          </cell>
          <cell r="E24">
            <v>1309000</v>
          </cell>
          <cell r="F24">
            <v>1309000</v>
          </cell>
          <cell r="K24">
            <v>0</v>
          </cell>
          <cell r="L24">
            <v>0</v>
          </cell>
          <cell r="M24">
            <v>1309000</v>
          </cell>
          <cell r="N24">
            <v>1309000</v>
          </cell>
          <cell r="O24">
            <v>3927000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Comparis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l List"/>
      <sheetName val="Consl - Countries"/>
      <sheetName val="Global"/>
      <sheetName val="Consl  Budget"/>
      <sheetName val="List by Agency"/>
      <sheetName val="Outcome Budget lines and agency"/>
      <sheetName val="Consolidated budget"/>
      <sheetName val="2019 Comparison"/>
      <sheetName val="Colombia"/>
      <sheetName val="Cote d'Ivoire"/>
      <sheetName val="Indonesia"/>
      <sheetName val="Mexico"/>
      <sheetName val="Myanmar"/>
      <sheetName val="Peru"/>
      <sheetName val="Rep of Congo"/>
      <sheetName val="Viet Nam"/>
      <sheetName val="Zambia"/>
      <sheetName val="Landscapes Approach"/>
      <sheetName val="Financing &amp; Private Sector"/>
      <sheetName val="Tenure &amp; IP Rights"/>
      <sheetName val="NFMS"/>
      <sheetName val="Paris Agrmt &amp; SDGs"/>
      <sheetName val="Sheet1"/>
      <sheetName val="Sheet3"/>
      <sheetName val="REDD+ Funding Mechanism"/>
      <sheetName val="Cross cutting &amp; comms"/>
      <sheetName val="Hoja1"/>
    </sheetNames>
    <sheetDataSet>
      <sheetData sheetId="0"/>
      <sheetData sheetId="1"/>
      <sheetData sheetId="2"/>
      <sheetData sheetId="3"/>
      <sheetData sheetId="4"/>
      <sheetData sheetId="5"/>
      <sheetData sheetId="6"/>
      <sheetData sheetId="7">
        <row r="22">
          <cell r="F22">
            <v>75000</v>
          </cell>
          <cell r="I22">
            <v>648600</v>
          </cell>
        </row>
        <row r="23">
          <cell r="F23">
            <v>0</v>
          </cell>
          <cell r="G23">
            <v>430200</v>
          </cell>
          <cell r="H23">
            <v>0</v>
          </cell>
          <cell r="I23">
            <v>430200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showGridLines="0" zoomScaleNormal="100" workbookViewId="0">
      <selection activeCell="I29" sqref="I29"/>
    </sheetView>
  </sheetViews>
  <sheetFormatPr defaultColWidth="9.1796875" defaultRowHeight="14.5" x14ac:dyDescent="0.35"/>
  <cols>
    <col min="1" max="1" width="9.1796875" style="16"/>
    <col min="2" max="2" width="34.26953125" style="16" customWidth="1"/>
    <col min="3" max="5" width="12.54296875" style="16" bestFit="1" customWidth="1"/>
    <col min="6" max="6" width="11.453125" style="16" bestFit="1" customWidth="1"/>
    <col min="7" max="7" width="9.7265625" style="16" bestFit="1" customWidth="1"/>
    <col min="8" max="16384" width="9.1796875" style="16"/>
  </cols>
  <sheetData>
    <row r="2" spans="2:7" x14ac:dyDescent="0.35">
      <c r="B2" s="15" t="s">
        <v>0</v>
      </c>
      <c r="C2" s="15" t="s">
        <v>1</v>
      </c>
      <c r="D2" s="15" t="s">
        <v>2</v>
      </c>
      <c r="E2" s="15" t="s">
        <v>3</v>
      </c>
      <c r="F2" s="15" t="s">
        <v>4</v>
      </c>
    </row>
    <row r="3" spans="2:7" x14ac:dyDescent="0.35">
      <c r="B3" s="17" t="s">
        <v>5</v>
      </c>
      <c r="C3" s="18">
        <f>C4+C8+C12</f>
        <v>13535348</v>
      </c>
      <c r="D3" s="18">
        <f>D4+D8+D12</f>
        <v>5965793</v>
      </c>
      <c r="E3" s="18">
        <f>E4+E8+E12</f>
        <v>5595780</v>
      </c>
      <c r="F3" s="18">
        <f>F4+F8+F12</f>
        <v>1973775</v>
      </c>
    </row>
    <row r="4" spans="2:7" x14ac:dyDescent="0.35">
      <c r="B4" s="19" t="s">
        <v>6</v>
      </c>
      <c r="C4" s="20">
        <f>SUM(C5:C7)</f>
        <v>3750587</v>
      </c>
      <c r="D4" s="20">
        <f>SUM(D5:D7)</f>
        <v>1981007</v>
      </c>
      <c r="E4" s="20">
        <f>SUM(E5:E7)</f>
        <v>1201680</v>
      </c>
      <c r="F4" s="20">
        <f>SUM(F5:F7)</f>
        <v>567900</v>
      </c>
    </row>
    <row r="5" spans="2:7" x14ac:dyDescent="0.35">
      <c r="B5" s="21" t="s">
        <v>7</v>
      </c>
      <c r="C5" s="22">
        <f>SUM(D5:F5)</f>
        <v>1950305</v>
      </c>
      <c r="D5" s="22">
        <v>607205</v>
      </c>
      <c r="E5" s="22">
        <v>1058100</v>
      </c>
      <c r="F5" s="22">
        <f>95000*3</f>
        <v>285000</v>
      </c>
    </row>
    <row r="6" spans="2:7" x14ac:dyDescent="0.35">
      <c r="B6" s="21" t="s">
        <v>8</v>
      </c>
      <c r="C6" s="22">
        <f t="shared" ref="C6:C15" si="0">SUM(D6:F6)</f>
        <v>721057</v>
      </c>
      <c r="D6" s="22">
        <v>721057</v>
      </c>
      <c r="E6" s="22">
        <v>0</v>
      </c>
      <c r="F6" s="22">
        <v>0</v>
      </c>
    </row>
    <row r="7" spans="2:7" x14ac:dyDescent="0.35">
      <c r="B7" s="21" t="s">
        <v>9</v>
      </c>
      <c r="C7" s="22">
        <f t="shared" si="0"/>
        <v>1079225</v>
      </c>
      <c r="D7" s="22">
        <v>652745</v>
      </c>
      <c r="E7" s="22">
        <v>143580</v>
      </c>
      <c r="F7" s="22">
        <f>94300*3</f>
        <v>282900</v>
      </c>
    </row>
    <row r="8" spans="2:7" x14ac:dyDescent="0.35">
      <c r="B8" s="23" t="s">
        <v>10</v>
      </c>
      <c r="C8" s="24">
        <f>SUM(C9:C11)</f>
        <v>4829784</v>
      </c>
      <c r="D8" s="24">
        <f>SUM(D9:D11)</f>
        <v>2504724</v>
      </c>
      <c r="E8" s="24">
        <f>SUM(E9:E11)</f>
        <v>1632060</v>
      </c>
      <c r="F8" s="24">
        <f>SUM(F9:F11)</f>
        <v>693000</v>
      </c>
    </row>
    <row r="9" spans="2:7" x14ac:dyDescent="0.35">
      <c r="B9" s="21" t="s">
        <v>11</v>
      </c>
      <c r="C9" s="22">
        <f t="shared" si="0"/>
        <v>2533124</v>
      </c>
      <c r="D9" s="22">
        <v>1328264</v>
      </c>
      <c r="E9" s="22">
        <v>649860</v>
      </c>
      <c r="F9" s="22">
        <f>185000*3</f>
        <v>555000</v>
      </c>
    </row>
    <row r="10" spans="2:7" x14ac:dyDescent="0.35">
      <c r="B10" s="21" t="s">
        <v>12</v>
      </c>
      <c r="C10" s="22">
        <f t="shared" si="0"/>
        <v>1243714</v>
      </c>
      <c r="D10" s="22">
        <v>569254</v>
      </c>
      <c r="E10" s="22">
        <v>536460</v>
      </c>
      <c r="F10" s="22">
        <f>46000*3</f>
        <v>138000</v>
      </c>
    </row>
    <row r="11" spans="2:7" x14ac:dyDescent="0.35">
      <c r="B11" s="21" t="s">
        <v>13</v>
      </c>
      <c r="C11" s="22">
        <f t="shared" si="0"/>
        <v>1052946</v>
      </c>
      <c r="D11" s="22">
        <v>607206</v>
      </c>
      <c r="E11" s="22">
        <v>445740</v>
      </c>
      <c r="F11" s="22"/>
    </row>
    <row r="12" spans="2:7" x14ac:dyDescent="0.35">
      <c r="B12" s="23" t="s">
        <v>14</v>
      </c>
      <c r="C12" s="24">
        <f>SUM(C13:C15)</f>
        <v>4954977</v>
      </c>
      <c r="D12" s="24">
        <f>SUM(D13:D15)</f>
        <v>1480062</v>
      </c>
      <c r="E12" s="24">
        <f>SUM(E13:E15)</f>
        <v>2762040</v>
      </c>
      <c r="F12" s="24">
        <f>SUM(F13:F15)</f>
        <v>712875</v>
      </c>
    </row>
    <row r="13" spans="2:7" ht="15" x14ac:dyDescent="0.25">
      <c r="B13" s="21" t="s">
        <v>15</v>
      </c>
      <c r="C13" s="22">
        <f t="shared" si="0"/>
        <v>1585214</v>
      </c>
      <c r="D13" s="22">
        <v>683105</v>
      </c>
      <c r="E13" s="22">
        <v>725400</v>
      </c>
      <c r="F13" s="22">
        <f>58903*3</f>
        <v>176709</v>
      </c>
    </row>
    <row r="14" spans="2:7" ht="15" x14ac:dyDescent="0.25">
      <c r="B14" s="21" t="s">
        <v>16</v>
      </c>
      <c r="C14" s="22">
        <f t="shared" si="0"/>
        <v>1504222</v>
      </c>
      <c r="D14" s="22">
        <v>455404</v>
      </c>
      <c r="E14" s="22">
        <v>793440</v>
      </c>
      <c r="F14" s="22">
        <f>85126*3</f>
        <v>255378</v>
      </c>
    </row>
    <row r="15" spans="2:7" ht="15" x14ac:dyDescent="0.25">
      <c r="B15" s="21" t="s">
        <v>17</v>
      </c>
      <c r="C15" s="22">
        <f t="shared" si="0"/>
        <v>1865541</v>
      </c>
      <c r="D15" s="22">
        <v>341553</v>
      </c>
      <c r="E15" s="22">
        <v>1243200</v>
      </c>
      <c r="F15" s="22">
        <v>280788</v>
      </c>
    </row>
    <row r="16" spans="2:7" ht="15" x14ac:dyDescent="0.25">
      <c r="B16" s="17" t="s">
        <v>18</v>
      </c>
      <c r="C16" s="25" t="e">
        <f>SUM(C17:C23)</f>
        <v>#REF!</v>
      </c>
      <c r="D16" s="25">
        <f>SUM(D17:D23)</f>
        <v>2511892</v>
      </c>
      <c r="E16" s="25">
        <f>SUM(E17:E23)</f>
        <v>4566120</v>
      </c>
      <c r="F16" s="25" t="e">
        <f>SUM(F17:F23)</f>
        <v>#REF!</v>
      </c>
      <c r="G16" s="26"/>
    </row>
    <row r="17" spans="2:7" x14ac:dyDescent="0.35">
      <c r="B17" s="21" t="s">
        <v>19</v>
      </c>
      <c r="C17" s="27">
        <f>SUM(D17:F17)</f>
        <v>912455</v>
      </c>
      <c r="D17" s="27">
        <v>630455</v>
      </c>
      <c r="E17" s="27"/>
      <c r="F17" s="27">
        <f>94000*3</f>
        <v>282000</v>
      </c>
    </row>
    <row r="18" spans="2:7" x14ac:dyDescent="0.35">
      <c r="B18" s="21" t="s">
        <v>20</v>
      </c>
      <c r="C18" s="27" t="e">
        <f t="shared" ref="C18:C23" si="1">SUM(D18:F18)</f>
        <v>#REF!</v>
      </c>
      <c r="D18" s="27"/>
      <c r="E18" s="27"/>
      <c r="F18" s="27" t="e">
        <f>#REF!</f>
        <v>#REF!</v>
      </c>
    </row>
    <row r="19" spans="2:7" ht="15" x14ac:dyDescent="0.25">
      <c r="B19" s="21" t="s">
        <v>21</v>
      </c>
      <c r="C19" s="27">
        <f t="shared" si="1"/>
        <v>2158868</v>
      </c>
      <c r="D19" s="27">
        <v>626828</v>
      </c>
      <c r="E19" s="27">
        <v>1532040</v>
      </c>
      <c r="F19" s="27"/>
    </row>
    <row r="20" spans="2:7" x14ac:dyDescent="0.35">
      <c r="B20" s="21" t="s">
        <v>22</v>
      </c>
      <c r="C20" s="27">
        <f t="shared" si="1"/>
        <v>1029609</v>
      </c>
      <c r="D20" s="27">
        <v>1029609</v>
      </c>
      <c r="E20" s="27"/>
      <c r="F20" s="27"/>
    </row>
    <row r="21" spans="2:7" x14ac:dyDescent="0.35">
      <c r="B21" s="21" t="s">
        <v>23</v>
      </c>
      <c r="C21" s="27">
        <f t="shared" si="1"/>
        <v>1957140</v>
      </c>
      <c r="D21" s="27">
        <v>225000</v>
      </c>
      <c r="E21" s="27">
        <v>1732140</v>
      </c>
      <c r="F21" s="27"/>
    </row>
    <row r="22" spans="2:7" ht="15" x14ac:dyDescent="0.25">
      <c r="B22" s="21" t="s">
        <v>24</v>
      </c>
      <c r="C22" s="27">
        <f t="shared" si="1"/>
        <v>1301940</v>
      </c>
      <c r="D22" s="27"/>
      <c r="E22" s="27">
        <v>1301940</v>
      </c>
      <c r="F22" s="27"/>
    </row>
    <row r="23" spans="2:7" ht="15" x14ac:dyDescent="0.25">
      <c r="B23" s="21" t="s">
        <v>25</v>
      </c>
      <c r="C23" s="27" t="e">
        <f t="shared" si="1"/>
        <v>#REF!</v>
      </c>
      <c r="D23" s="27">
        <v>0</v>
      </c>
      <c r="E23" s="27"/>
      <c r="F23" s="27" t="e">
        <f>#REF!</f>
        <v>#REF!</v>
      </c>
    </row>
    <row r="24" spans="2:7" ht="15" x14ac:dyDescent="0.25">
      <c r="B24" s="23" t="s">
        <v>26</v>
      </c>
      <c r="C24" s="28" t="e">
        <f>C16+C12+C8+C4</f>
        <v>#REF!</v>
      </c>
      <c r="D24" s="28">
        <f>D16+D12+D8+D4</f>
        <v>8477685</v>
      </c>
      <c r="E24" s="28">
        <f>E16+E12+E8+E4</f>
        <v>10161900</v>
      </c>
      <c r="F24" s="28" t="e">
        <f>F16+F12+F8+F4</f>
        <v>#REF!</v>
      </c>
    </row>
    <row r="25" spans="2:7" x14ac:dyDescent="0.35">
      <c r="B25" s="29" t="s">
        <v>27</v>
      </c>
      <c r="C25" s="30" t="e">
        <f>C24*0.07</f>
        <v>#REF!</v>
      </c>
      <c r="D25" s="30">
        <f>D24*0.07</f>
        <v>593437.95000000007</v>
      </c>
      <c r="E25" s="30">
        <f>E24*0.07</f>
        <v>711333.00000000012</v>
      </c>
      <c r="F25" s="30" t="e">
        <f>F24*0.07</f>
        <v>#REF!</v>
      </c>
    </row>
    <row r="26" spans="2:7" x14ac:dyDescent="0.35">
      <c r="B26" s="96" t="s">
        <v>28</v>
      </c>
      <c r="C26" s="97" t="e">
        <f>SUM(C24:C25)</f>
        <v>#REF!</v>
      </c>
      <c r="D26" s="97">
        <f>SUM(D24:D25)</f>
        <v>9071122.9499999993</v>
      </c>
      <c r="E26" s="97">
        <f>SUM(E24:E25)</f>
        <v>10873233</v>
      </c>
      <c r="F26" s="97" t="e">
        <f>SUM(F24:F25)</f>
        <v>#REF!</v>
      </c>
    </row>
    <row r="27" spans="2:7" x14ac:dyDescent="0.35">
      <c r="C27" s="31"/>
      <c r="D27" s="32"/>
    </row>
    <row r="28" spans="2:7" x14ac:dyDescent="0.35">
      <c r="C28" s="33"/>
      <c r="D28" s="26"/>
      <c r="E28" s="34"/>
      <c r="F28" s="34"/>
      <c r="G28" s="35"/>
    </row>
    <row r="29" spans="2:7" x14ac:dyDescent="0.35">
      <c r="C29" s="31"/>
      <c r="D29" s="26"/>
    </row>
    <row r="30" spans="2:7" x14ac:dyDescent="0.35">
      <c r="C30" s="26"/>
    </row>
    <row r="31" spans="2:7" x14ac:dyDescent="0.35">
      <c r="E31" s="26"/>
    </row>
  </sheetData>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H35"/>
  <sheetViews>
    <sheetView showGridLines="0" topLeftCell="A6" zoomScaleNormal="100" zoomScaleSheetLayoutView="75" workbookViewId="0">
      <selection activeCell="I26" sqref="I26"/>
    </sheetView>
  </sheetViews>
  <sheetFormatPr defaultColWidth="23.7265625" defaultRowHeight="14.5" x14ac:dyDescent="0.35"/>
  <cols>
    <col min="1" max="1" width="2.7265625" style="1" customWidth="1"/>
    <col min="2" max="2" width="46" style="2" customWidth="1"/>
    <col min="3" max="3" width="11.26953125" style="1" customWidth="1"/>
    <col min="4" max="4" width="11.54296875" style="1" customWidth="1"/>
    <col min="5" max="5" width="11.1796875" style="1" customWidth="1"/>
    <col min="6" max="6" width="12.81640625" style="1" customWidth="1"/>
    <col min="7" max="16384" width="23.7265625" style="1"/>
  </cols>
  <sheetData>
    <row r="2" spans="2:8" ht="24.75" customHeight="1" x14ac:dyDescent="0.35">
      <c r="B2" s="521" t="s">
        <v>29</v>
      </c>
      <c r="C2" s="521"/>
      <c r="D2" s="521"/>
      <c r="E2" s="521"/>
      <c r="F2" s="521"/>
    </row>
    <row r="3" spans="2:8" ht="26.25" customHeight="1" x14ac:dyDescent="0.35">
      <c r="B3" s="518" t="s">
        <v>30</v>
      </c>
      <c r="C3" s="519"/>
      <c r="D3" s="519"/>
      <c r="E3" s="519"/>
      <c r="F3" s="520"/>
      <c r="G3" s="4"/>
      <c r="H3" s="4"/>
    </row>
    <row r="4" spans="2:8" ht="20.149999999999999" customHeight="1" x14ac:dyDescent="0.35">
      <c r="B4" s="51" t="s">
        <v>31</v>
      </c>
      <c r="C4" s="51">
        <v>2018</v>
      </c>
      <c r="D4" s="52" t="s">
        <v>2</v>
      </c>
      <c r="E4" s="53" t="s">
        <v>3</v>
      </c>
      <c r="F4" s="52" t="s">
        <v>4</v>
      </c>
      <c r="G4" s="5"/>
      <c r="H4" s="3"/>
    </row>
    <row r="5" spans="2:8" ht="20.149999999999999" customHeight="1" x14ac:dyDescent="0.35">
      <c r="B5" s="48" t="s">
        <v>32</v>
      </c>
      <c r="C5" s="54" t="e">
        <f>#REF!+#REF!+#REF!</f>
        <v>#REF!</v>
      </c>
      <c r="D5" s="54" t="e">
        <f>#REF!+#REF!+#REF!</f>
        <v>#REF!</v>
      </c>
      <c r="E5" s="55" t="e">
        <f>'Costa de Marfil'!#REF!+#REF!+#REF!+Global!H5</f>
        <v>#REF!</v>
      </c>
      <c r="F5" s="55" t="e">
        <f>#REF!+#REF!+#REF!</f>
        <v>#REF!</v>
      </c>
      <c r="G5" s="5"/>
      <c r="H5" s="3"/>
    </row>
    <row r="6" spans="2:8" ht="20.149999999999999" customHeight="1" x14ac:dyDescent="0.35">
      <c r="B6" s="48" t="s">
        <v>33</v>
      </c>
      <c r="C6" s="54" t="e">
        <f>#REF!+#REF!+#REF!</f>
        <v>#REF!</v>
      </c>
      <c r="D6" s="54" t="e">
        <f>#REF!+#REF!+#REF!</f>
        <v>#REF!</v>
      </c>
      <c r="E6" s="55" t="e">
        <f>'Costa de Marfil'!#REF!+#REF!+#REF!+Global!H6</f>
        <v>#REF!</v>
      </c>
      <c r="F6" s="55" t="e">
        <f>#REF!+#REF!+#REF!</f>
        <v>#REF!</v>
      </c>
      <c r="G6" s="5"/>
    </row>
    <row r="7" spans="2:8" ht="20.149999999999999" customHeight="1" x14ac:dyDescent="0.35">
      <c r="B7" s="49" t="s">
        <v>34</v>
      </c>
      <c r="C7" s="54" t="e">
        <f>#REF!+#REF!+#REF!</f>
        <v>#REF!</v>
      </c>
      <c r="D7" s="54" t="e">
        <f>#REF!+#REF!+#REF!</f>
        <v>#REF!</v>
      </c>
      <c r="E7" s="55" t="e">
        <f>'Costa de Marfil'!#REF!+#REF!+#REF!+Global!H7</f>
        <v>#REF!</v>
      </c>
      <c r="F7" s="55" t="e">
        <f>#REF!+#REF!+#REF!</f>
        <v>#REF!</v>
      </c>
      <c r="G7" s="5"/>
      <c r="H7" s="3"/>
    </row>
    <row r="8" spans="2:8" ht="20.149999999999999" customHeight="1" x14ac:dyDescent="0.35">
      <c r="B8" s="48" t="s">
        <v>35</v>
      </c>
      <c r="C8" s="54" t="e">
        <f>#REF!+#REF!+#REF!</f>
        <v>#REF!</v>
      </c>
      <c r="D8" s="54" t="e">
        <f>#REF!+#REF!+#REF!</f>
        <v>#REF!</v>
      </c>
      <c r="E8" s="55" t="e">
        <f>'Costa de Marfil'!#REF!+#REF!+#REF!+Global!H8</f>
        <v>#REF!</v>
      </c>
      <c r="F8" s="55" t="e">
        <f>#REF!+#REF!+#REF!</f>
        <v>#REF!</v>
      </c>
      <c r="G8" s="5"/>
      <c r="H8" s="3"/>
    </row>
    <row r="9" spans="2:8" ht="20.149999999999999" customHeight="1" x14ac:dyDescent="0.35">
      <c r="B9" s="48" t="s">
        <v>36</v>
      </c>
      <c r="C9" s="54" t="e">
        <f>#REF!+#REF!+#REF!</f>
        <v>#REF!</v>
      </c>
      <c r="D9" s="54" t="e">
        <f>#REF!+#REF!+#REF!</f>
        <v>#REF!</v>
      </c>
      <c r="E9" s="55" t="e">
        <f>'Costa de Marfil'!#REF!+#REF!+#REF!+Global!H9</f>
        <v>#REF!</v>
      </c>
      <c r="F9" s="55" t="e">
        <f>#REF!+#REF!+#REF!</f>
        <v>#REF!</v>
      </c>
      <c r="G9" s="5"/>
      <c r="H9" s="3"/>
    </row>
    <row r="10" spans="2:8" ht="20.149999999999999" customHeight="1" x14ac:dyDescent="0.35">
      <c r="B10" s="49" t="s">
        <v>37</v>
      </c>
      <c r="C10" s="54" t="e">
        <f>#REF!+#REF!+#REF!</f>
        <v>#REF!</v>
      </c>
      <c r="D10" s="54" t="e">
        <f>#REF!+#REF!+#REF!</f>
        <v>#REF!</v>
      </c>
      <c r="E10" s="55" t="e">
        <f>'Costa de Marfil'!#REF!+#REF!+#REF!+Global!H11</f>
        <v>#REF!</v>
      </c>
      <c r="F10" s="55" t="e">
        <f>#REF!+#REF!+#REF!</f>
        <v>#REF!</v>
      </c>
      <c r="G10" s="5"/>
      <c r="H10" s="3"/>
    </row>
    <row r="11" spans="2:8" ht="20.149999999999999" customHeight="1" x14ac:dyDescent="0.35">
      <c r="B11" s="56" t="s">
        <v>38</v>
      </c>
      <c r="C11" s="57" t="e">
        <f>SUM(C5:C10)</f>
        <v>#REF!</v>
      </c>
      <c r="D11" s="57" t="e">
        <f>SUM(D5:D10)</f>
        <v>#REF!</v>
      </c>
      <c r="E11" s="57" t="e">
        <f>SUM(E5:E10)</f>
        <v>#REF!</v>
      </c>
      <c r="F11" s="57" t="e">
        <f>SUM(F5:F10)</f>
        <v>#REF!</v>
      </c>
    </row>
    <row r="12" spans="2:8" ht="28.5" customHeight="1" x14ac:dyDescent="0.35">
      <c r="B12" s="518" t="s">
        <v>39</v>
      </c>
      <c r="C12" s="519"/>
      <c r="D12" s="519"/>
      <c r="E12" s="519"/>
      <c r="F12" s="520"/>
    </row>
    <row r="13" spans="2:8" ht="20.149999999999999" customHeight="1" x14ac:dyDescent="0.35">
      <c r="B13" s="51" t="s">
        <v>31</v>
      </c>
      <c r="C13" s="51">
        <v>2018</v>
      </c>
      <c r="D13" s="52" t="s">
        <v>2</v>
      </c>
      <c r="E13" s="53" t="s">
        <v>3</v>
      </c>
      <c r="F13" s="52" t="s">
        <v>4</v>
      </c>
    </row>
    <row r="14" spans="2:8" ht="20.149999999999999" customHeight="1" x14ac:dyDescent="0.35">
      <c r="B14" s="48" t="s">
        <v>32</v>
      </c>
      <c r="C14" s="58" t="e">
        <f>#REF!+#REF!+#REF!</f>
        <v>#REF!</v>
      </c>
      <c r="D14" s="59" t="e">
        <f>#REF!+#REF!+#REF!</f>
        <v>#REF!</v>
      </c>
      <c r="E14" s="59" t="e">
        <f>#REF!+#REF!+#REF!</f>
        <v>#REF!</v>
      </c>
      <c r="F14" s="59" t="e">
        <f>#REF!+#REF!+#REF!</f>
        <v>#REF!</v>
      </c>
    </row>
    <row r="15" spans="2:8" ht="20.149999999999999" customHeight="1" x14ac:dyDescent="0.25">
      <c r="B15" s="48" t="s">
        <v>33</v>
      </c>
      <c r="C15" s="58" t="e">
        <f>#REF!+#REF!+#REF!</f>
        <v>#REF!</v>
      </c>
      <c r="D15" s="59" t="e">
        <f>#REF!+#REF!+#REF!</f>
        <v>#REF!</v>
      </c>
      <c r="E15" s="59" t="e">
        <f>#REF!+#REF!+#REF!</f>
        <v>#REF!</v>
      </c>
      <c r="F15" s="59" t="e">
        <f>#REF!+#REF!+#REF!</f>
        <v>#REF!</v>
      </c>
    </row>
    <row r="16" spans="2:8" ht="20.149999999999999" customHeight="1" x14ac:dyDescent="0.25">
      <c r="B16" s="49" t="s">
        <v>34</v>
      </c>
      <c r="C16" s="58" t="e">
        <f>#REF!+#REF!+#REF!</f>
        <v>#REF!</v>
      </c>
      <c r="D16" s="59" t="e">
        <f>#REF!+#REF!+#REF!</f>
        <v>#REF!</v>
      </c>
      <c r="E16" s="59" t="e">
        <f>#REF!+#REF!+#REF!</f>
        <v>#REF!</v>
      </c>
      <c r="F16" s="59" t="e">
        <f>#REF!+#REF!+#REF!</f>
        <v>#REF!</v>
      </c>
    </row>
    <row r="17" spans="2:6" ht="20.149999999999999" customHeight="1" x14ac:dyDescent="0.25">
      <c r="B17" s="48" t="s">
        <v>35</v>
      </c>
      <c r="C17" s="58" t="e">
        <f>#REF!+#REF!+#REF!</f>
        <v>#REF!</v>
      </c>
      <c r="D17" s="59" t="e">
        <f>#REF!+#REF!+#REF!</f>
        <v>#REF!</v>
      </c>
      <c r="E17" s="59" t="e">
        <f>#REF!+#REF!+#REF!</f>
        <v>#REF!</v>
      </c>
      <c r="F17" s="59" t="e">
        <f>#REF!+#REF!+#REF!</f>
        <v>#REF!</v>
      </c>
    </row>
    <row r="18" spans="2:6" ht="20.149999999999999" customHeight="1" x14ac:dyDescent="0.25">
      <c r="B18" s="48" t="s">
        <v>36</v>
      </c>
      <c r="C18" s="58" t="e">
        <f>#REF!+#REF!+#REF!</f>
        <v>#REF!</v>
      </c>
      <c r="D18" s="59" t="e">
        <f>#REF!+#REF!+#REF!</f>
        <v>#REF!</v>
      </c>
      <c r="E18" s="59" t="e">
        <f>#REF!+#REF!+#REF!</f>
        <v>#REF!</v>
      </c>
      <c r="F18" s="59" t="e">
        <f>#REF!+#REF!+#REF!</f>
        <v>#REF!</v>
      </c>
    </row>
    <row r="19" spans="2:6" ht="20.149999999999999" customHeight="1" x14ac:dyDescent="0.25">
      <c r="B19" s="49" t="s">
        <v>37</v>
      </c>
      <c r="C19" s="58" t="e">
        <f>#REF!+#REF!+#REF!</f>
        <v>#REF!</v>
      </c>
      <c r="D19" s="59" t="e">
        <f>#REF!+#REF!+#REF!</f>
        <v>#REF!</v>
      </c>
      <c r="E19" s="59" t="e">
        <f>#REF!+#REF!+#REF!</f>
        <v>#REF!</v>
      </c>
      <c r="F19" s="59" t="e">
        <f>#REF!+#REF!+#REF!</f>
        <v>#REF!</v>
      </c>
    </row>
    <row r="20" spans="2:6" ht="20.149999999999999" customHeight="1" x14ac:dyDescent="0.25">
      <c r="B20" s="60" t="s">
        <v>38</v>
      </c>
      <c r="C20" s="61" t="e">
        <f>SUM(C14:C19)</f>
        <v>#REF!</v>
      </c>
      <c r="D20" s="61" t="e">
        <f>SUM(D14:D19)</f>
        <v>#REF!</v>
      </c>
      <c r="E20" s="61" t="e">
        <f>SUM(E14:E19)</f>
        <v>#REF!</v>
      </c>
      <c r="F20" s="61" t="e">
        <f>SUM(F14:F19)</f>
        <v>#REF!</v>
      </c>
    </row>
    <row r="21" spans="2:6" ht="20.149999999999999" customHeight="1" x14ac:dyDescent="0.25">
      <c r="B21" s="62" t="s">
        <v>40</v>
      </c>
      <c r="C21" s="63" t="e">
        <f>C20+C11</f>
        <v>#REF!</v>
      </c>
      <c r="D21" s="63" t="e">
        <f>D20+D11</f>
        <v>#REF!</v>
      </c>
      <c r="E21" s="63" t="e">
        <f>E20+E11</f>
        <v>#REF!</v>
      </c>
      <c r="F21" s="63" t="e">
        <f>F20+F11</f>
        <v>#REF!</v>
      </c>
    </row>
    <row r="22" spans="2:6" ht="20.149999999999999" customHeight="1" x14ac:dyDescent="0.25">
      <c r="B22" s="62" t="s">
        <v>41</v>
      </c>
      <c r="C22" s="63" t="e">
        <f>0.07*C21</f>
        <v>#REF!</v>
      </c>
      <c r="D22" s="63" t="e">
        <f>0.07*D21</f>
        <v>#REF!</v>
      </c>
      <c r="E22" s="63" t="e">
        <f>0.07*E21</f>
        <v>#REF!</v>
      </c>
      <c r="F22" s="63" t="e">
        <f>0.07*F21</f>
        <v>#REF!</v>
      </c>
    </row>
    <row r="23" spans="2:6" ht="20.149999999999999" customHeight="1" x14ac:dyDescent="0.25">
      <c r="B23" s="64" t="s">
        <v>42</v>
      </c>
      <c r="C23" s="65" t="e">
        <f>SUM(C21:C22)</f>
        <v>#REF!</v>
      </c>
      <c r="D23" s="65" t="e">
        <f>SUM(D21:D22)</f>
        <v>#REF!</v>
      </c>
      <c r="E23" s="65" t="e">
        <f>SUM(E21:E22)</f>
        <v>#REF!</v>
      </c>
      <c r="F23" s="65" t="e">
        <f>SUM(F21:F22)</f>
        <v>#REF!</v>
      </c>
    </row>
    <row r="24" spans="2:6" x14ac:dyDescent="0.35">
      <c r="D24" s="6"/>
    </row>
    <row r="25" spans="2:6" ht="15" thickBot="1" x14ac:dyDescent="0.4">
      <c r="D25" s="6"/>
      <c r="E25" s="6"/>
    </row>
    <row r="26" spans="2:6" ht="26.5" thickBot="1" x14ac:dyDescent="0.4">
      <c r="B26" s="36" t="s">
        <v>43</v>
      </c>
      <c r="C26" s="37" t="s">
        <v>44</v>
      </c>
      <c r="D26" s="37" t="s">
        <v>45</v>
      </c>
      <c r="E26" s="37" t="s">
        <v>46</v>
      </c>
      <c r="F26" s="37" t="s">
        <v>47</v>
      </c>
    </row>
    <row r="27" spans="2:6" ht="15" thickBot="1" x14ac:dyDescent="0.4">
      <c r="B27" s="38" t="s">
        <v>32</v>
      </c>
      <c r="C27" s="39" t="s">
        <v>48</v>
      </c>
      <c r="D27" s="40" t="s">
        <v>48</v>
      </c>
      <c r="E27" s="40" t="s">
        <v>48</v>
      </c>
      <c r="F27" s="45" t="e">
        <f>C5+C14+#REF!+#REF!</f>
        <v>#REF!</v>
      </c>
    </row>
    <row r="28" spans="2:6" ht="15" thickBot="1" x14ac:dyDescent="0.4">
      <c r="B28" s="38" t="s">
        <v>33</v>
      </c>
      <c r="C28" s="39"/>
      <c r="D28" s="40"/>
      <c r="E28" s="40"/>
      <c r="F28" s="45" t="e">
        <f>C6+C15+#REF!+#REF!</f>
        <v>#REF!</v>
      </c>
    </row>
    <row r="29" spans="2:6" ht="29.5" thickBot="1" x14ac:dyDescent="0.4">
      <c r="B29" s="38" t="s">
        <v>34</v>
      </c>
      <c r="C29" s="39"/>
      <c r="D29" s="40"/>
      <c r="E29" s="40"/>
      <c r="F29" s="45" t="e">
        <f>C7+C16+#REF!+#REF!</f>
        <v>#REF!</v>
      </c>
    </row>
    <row r="30" spans="2:6" ht="15" thickBot="1" x14ac:dyDescent="0.4">
      <c r="B30" s="38" t="s">
        <v>35</v>
      </c>
      <c r="C30" s="39"/>
      <c r="D30" s="40"/>
      <c r="E30" s="40"/>
      <c r="F30" s="45" t="e">
        <f>C8+C17+#REF!+#REF!</f>
        <v>#REF!</v>
      </c>
    </row>
    <row r="31" spans="2:6" ht="15" thickBot="1" x14ac:dyDescent="0.4">
      <c r="B31" s="38" t="s">
        <v>36</v>
      </c>
      <c r="C31" s="39"/>
      <c r="D31" s="40"/>
      <c r="E31" s="40"/>
      <c r="F31" s="45" t="e">
        <f>C9+C18+#REF!+#REF!</f>
        <v>#REF!</v>
      </c>
    </row>
    <row r="32" spans="2:6" ht="15" thickBot="1" x14ac:dyDescent="0.4">
      <c r="B32" s="38" t="s">
        <v>37</v>
      </c>
      <c r="C32" s="41"/>
      <c r="D32" s="41"/>
      <c r="E32" s="41"/>
      <c r="F32" s="45" t="e">
        <f>C10+C19+#REF!+#REF!</f>
        <v>#REF!</v>
      </c>
    </row>
    <row r="33" spans="2:6" ht="15" thickBot="1" x14ac:dyDescent="0.4">
      <c r="B33" s="38" t="s">
        <v>49</v>
      </c>
      <c r="C33" s="39"/>
      <c r="D33" s="40"/>
      <c r="E33" s="40"/>
      <c r="F33" s="45" t="e">
        <f>SUM(F27:F32)</f>
        <v>#REF!</v>
      </c>
    </row>
    <row r="34" spans="2:6" ht="15" thickBot="1" x14ac:dyDescent="0.4">
      <c r="B34" s="38" t="s">
        <v>50</v>
      </c>
      <c r="C34" s="39"/>
      <c r="D34" s="40"/>
      <c r="E34" s="40"/>
      <c r="F34" s="45" t="e">
        <f>0.07*F33</f>
        <v>#REF!</v>
      </c>
    </row>
    <row r="35" spans="2:6" ht="15" thickBot="1" x14ac:dyDescent="0.4">
      <c r="B35" s="42" t="s">
        <v>51</v>
      </c>
      <c r="C35" s="43"/>
      <c r="D35" s="44"/>
      <c r="E35" s="44"/>
      <c r="F35" s="46" t="e">
        <f>SUM(F33:F34)</f>
        <v>#REF!</v>
      </c>
    </row>
  </sheetData>
  <mergeCells count="3">
    <mergeCell ref="B3:F3"/>
    <mergeCell ref="B12:F12"/>
    <mergeCell ref="B2:F2"/>
  </mergeCells>
  <printOptions horizontalCentered="1"/>
  <pageMargins left="0.23622047244094491" right="0.23622047244094491" top="0.74803149606299213" bottom="0.74803149606299213" header="0.31496062992125984" footer="0.31496062992125984"/>
  <pageSetup paperSize="8" scale="74" fitToHeight="13"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AA27"/>
  <sheetViews>
    <sheetView showGridLines="0" zoomScaleNormal="100" zoomScaleSheetLayoutView="75" workbookViewId="0">
      <selection activeCell="X15" sqref="X15:Z21"/>
    </sheetView>
  </sheetViews>
  <sheetFormatPr defaultColWidth="23.7265625" defaultRowHeight="14.5" x14ac:dyDescent="0.35"/>
  <cols>
    <col min="1" max="1" width="3" style="1" customWidth="1"/>
    <col min="2" max="2" width="27.81640625" style="2" customWidth="1"/>
    <col min="3" max="3" width="11.81640625" style="1" customWidth="1"/>
    <col min="4" max="4" width="12.54296875" style="1" customWidth="1"/>
    <col min="5" max="5" width="13" style="1" customWidth="1"/>
    <col min="6" max="6" width="12.26953125" style="1" customWidth="1"/>
    <col min="7" max="7" width="12.54296875" style="1" customWidth="1"/>
    <col min="8" max="8" width="11.26953125" style="1" customWidth="1"/>
    <col min="9" max="9" width="11.81640625" style="1" customWidth="1"/>
    <col min="10" max="10" width="1.81640625" style="11" customWidth="1"/>
    <col min="11" max="11" width="29.453125" style="1" customWidth="1"/>
    <col min="12" max="12" width="12.1796875" style="1" customWidth="1"/>
    <col min="13" max="13" width="11.7265625" style="1" customWidth="1"/>
    <col min="14" max="14" width="11.54296875" style="1" customWidth="1"/>
    <col min="15" max="15" width="10.7265625" style="1" customWidth="1"/>
    <col min="16" max="16" width="1.7265625" style="11" customWidth="1"/>
    <col min="17" max="17" width="29.26953125" style="1" customWidth="1"/>
    <col min="18" max="18" width="14" style="1" customWidth="1"/>
    <col min="19" max="19" width="11.81640625" style="1" customWidth="1"/>
    <col min="20" max="20" width="13" style="1" customWidth="1"/>
    <col min="21" max="21" width="12" style="1" customWidth="1"/>
    <col min="22" max="22" width="2" style="11" customWidth="1"/>
    <col min="23" max="23" width="31.54296875" style="1" customWidth="1"/>
    <col min="24" max="24" width="11.54296875" style="1" customWidth="1"/>
    <col min="25" max="25" width="11.1796875" style="1" customWidth="1"/>
    <col min="26" max="26" width="11.81640625" style="1" customWidth="1"/>
    <col min="27" max="27" width="12.26953125" style="1" customWidth="1"/>
    <col min="28" max="16384" width="23.7265625" style="1"/>
  </cols>
  <sheetData>
    <row r="2" spans="2:27" ht="24.75" customHeight="1" x14ac:dyDescent="0.35">
      <c r="B2" s="521" t="s">
        <v>52</v>
      </c>
      <c r="C2" s="521"/>
      <c r="D2" s="521"/>
      <c r="E2" s="521"/>
      <c r="F2" s="521"/>
      <c r="G2" s="521"/>
      <c r="H2" s="521"/>
      <c r="I2" s="521"/>
      <c r="K2" s="10" t="s">
        <v>2</v>
      </c>
      <c r="Q2" s="10" t="s">
        <v>3</v>
      </c>
      <c r="W2" s="10" t="s">
        <v>17</v>
      </c>
    </row>
    <row r="3" spans="2:27" ht="33" customHeight="1" x14ac:dyDescent="0.35">
      <c r="B3" s="518" t="s">
        <v>30</v>
      </c>
      <c r="C3" s="519"/>
      <c r="D3" s="519"/>
      <c r="E3" s="519"/>
      <c r="F3" s="519"/>
      <c r="G3" s="519"/>
      <c r="H3" s="519"/>
      <c r="I3" s="520"/>
      <c r="J3" s="12"/>
      <c r="K3" s="518" t="s">
        <v>30</v>
      </c>
      <c r="L3" s="519"/>
      <c r="M3" s="519"/>
      <c r="N3" s="519"/>
      <c r="O3" s="519"/>
      <c r="Q3" s="518" t="s">
        <v>30</v>
      </c>
      <c r="R3" s="519"/>
      <c r="S3" s="519"/>
      <c r="T3" s="519"/>
      <c r="U3" s="519"/>
      <c r="W3" s="518" t="s">
        <v>30</v>
      </c>
      <c r="X3" s="519"/>
      <c r="Y3" s="519"/>
      <c r="Z3" s="519"/>
      <c r="AA3" s="519"/>
    </row>
    <row r="4" spans="2:27" ht="20.149999999999999" customHeight="1" x14ac:dyDescent="0.35">
      <c r="B4" s="51" t="s">
        <v>31</v>
      </c>
      <c r="C4" s="51">
        <v>2018</v>
      </c>
      <c r="D4" s="51">
        <v>2019</v>
      </c>
      <c r="E4" s="51">
        <v>2020</v>
      </c>
      <c r="F4" s="51" t="s">
        <v>1</v>
      </c>
      <c r="G4" s="52" t="s">
        <v>2</v>
      </c>
      <c r="H4" s="53" t="s">
        <v>3</v>
      </c>
      <c r="I4" s="98" t="s">
        <v>4</v>
      </c>
      <c r="J4" s="13"/>
      <c r="K4" s="99" t="s">
        <v>31</v>
      </c>
      <c r="L4" s="51">
        <v>2018</v>
      </c>
      <c r="M4" s="51">
        <v>2019</v>
      </c>
      <c r="N4" s="51">
        <v>2020</v>
      </c>
      <c r="O4" s="51" t="s">
        <v>1</v>
      </c>
      <c r="Q4" s="99" t="s">
        <v>31</v>
      </c>
      <c r="R4" s="51">
        <v>2018</v>
      </c>
      <c r="S4" s="51">
        <v>2019</v>
      </c>
      <c r="T4" s="51">
        <v>2020</v>
      </c>
      <c r="U4" s="51" t="s">
        <v>1</v>
      </c>
      <c r="W4" s="99" t="s">
        <v>31</v>
      </c>
      <c r="X4" s="51">
        <v>2018</v>
      </c>
      <c r="Y4" s="51">
        <v>2019</v>
      </c>
      <c r="Z4" s="51">
        <v>2020</v>
      </c>
      <c r="AA4" s="51" t="s">
        <v>1</v>
      </c>
    </row>
    <row r="5" spans="2:27" ht="25" customHeight="1" x14ac:dyDescent="0.35">
      <c r="B5" s="48" t="s">
        <v>32</v>
      </c>
      <c r="C5" s="100">
        <f t="shared" ref="C5:E11" si="0">L5+R5+X5</f>
        <v>0</v>
      </c>
      <c r="D5" s="100">
        <f t="shared" si="0"/>
        <v>0</v>
      </c>
      <c r="E5" s="100">
        <f t="shared" si="0"/>
        <v>0</v>
      </c>
      <c r="F5" s="58">
        <f>SUM(C5:E5)</f>
        <v>0</v>
      </c>
      <c r="G5" s="55">
        <f>O5</f>
        <v>0</v>
      </c>
      <c r="H5" s="55">
        <f>U5</f>
        <v>0</v>
      </c>
      <c r="I5" s="55">
        <f>AA5</f>
        <v>0</v>
      </c>
      <c r="J5" s="13"/>
      <c r="K5" s="101" t="s">
        <v>32</v>
      </c>
      <c r="L5" s="102"/>
      <c r="M5" s="102"/>
      <c r="N5" s="102"/>
      <c r="O5" s="58">
        <f>SUM(L5:N5)</f>
        <v>0</v>
      </c>
      <c r="Q5" s="101" t="s">
        <v>32</v>
      </c>
      <c r="R5" s="102"/>
      <c r="S5" s="102"/>
      <c r="T5" s="102"/>
      <c r="U5" s="58">
        <f>SUM(R5:T5)</f>
        <v>0</v>
      </c>
      <c r="W5" s="101" t="s">
        <v>32</v>
      </c>
      <c r="X5" s="102"/>
      <c r="Y5" s="102"/>
      <c r="Z5" s="102"/>
      <c r="AA5" s="58">
        <f>SUM(X5:Z5)</f>
        <v>0</v>
      </c>
    </row>
    <row r="6" spans="2:27" ht="25" customHeight="1" x14ac:dyDescent="0.35">
      <c r="B6" s="48" t="s">
        <v>33</v>
      </c>
      <c r="C6" s="100">
        <f t="shared" si="0"/>
        <v>0</v>
      </c>
      <c r="D6" s="100">
        <f t="shared" si="0"/>
        <v>0</v>
      </c>
      <c r="E6" s="100">
        <f t="shared" si="0"/>
        <v>0</v>
      </c>
      <c r="F6" s="58">
        <f t="shared" ref="F6:F11" si="1">SUM(C6:E6)</f>
        <v>0</v>
      </c>
      <c r="G6" s="55">
        <f t="shared" ref="G6:G11" si="2">O6</f>
        <v>0</v>
      </c>
      <c r="H6" s="55">
        <f t="shared" ref="H6:H11" si="3">U6</f>
        <v>0</v>
      </c>
      <c r="I6" s="55">
        <f t="shared" ref="I6:I11" si="4">AA6</f>
        <v>0</v>
      </c>
      <c r="J6" s="13"/>
      <c r="K6" s="101" t="s">
        <v>33</v>
      </c>
      <c r="L6" s="102"/>
      <c r="M6" s="102"/>
      <c r="N6" s="102"/>
      <c r="O6" s="58">
        <f t="shared" ref="O6:O11" si="5">SUM(L6:N6)</f>
        <v>0</v>
      </c>
      <c r="Q6" s="101" t="s">
        <v>33</v>
      </c>
      <c r="R6" s="102"/>
      <c r="S6" s="102"/>
      <c r="T6" s="102"/>
      <c r="U6" s="58">
        <f t="shared" ref="U6:U11" si="6">SUM(R6:T6)</f>
        <v>0</v>
      </c>
      <c r="W6" s="101" t="s">
        <v>33</v>
      </c>
      <c r="X6" s="102"/>
      <c r="Y6" s="102"/>
      <c r="Z6" s="102"/>
      <c r="AA6" s="58">
        <f t="shared" ref="AA6:AA11" si="7">SUM(X6:Z6)</f>
        <v>0</v>
      </c>
    </row>
    <row r="7" spans="2:27" ht="25" customHeight="1" x14ac:dyDescent="0.35">
      <c r="B7" s="49" t="s">
        <v>34</v>
      </c>
      <c r="C7" s="100">
        <f t="shared" si="0"/>
        <v>0</v>
      </c>
      <c r="D7" s="100">
        <f t="shared" si="0"/>
        <v>0</v>
      </c>
      <c r="E7" s="100">
        <f t="shared" si="0"/>
        <v>0</v>
      </c>
      <c r="F7" s="58">
        <f t="shared" si="1"/>
        <v>0</v>
      </c>
      <c r="G7" s="55">
        <f t="shared" si="2"/>
        <v>0</v>
      </c>
      <c r="H7" s="55">
        <f t="shared" si="3"/>
        <v>0</v>
      </c>
      <c r="I7" s="55">
        <f t="shared" si="4"/>
        <v>0</v>
      </c>
      <c r="J7" s="13"/>
      <c r="K7" s="103" t="s">
        <v>34</v>
      </c>
      <c r="L7" s="102"/>
      <c r="M7" s="102"/>
      <c r="N7" s="102"/>
      <c r="O7" s="58">
        <f t="shared" si="5"/>
        <v>0</v>
      </c>
      <c r="Q7" s="103" t="s">
        <v>34</v>
      </c>
      <c r="R7" s="102"/>
      <c r="S7" s="102"/>
      <c r="T7" s="102"/>
      <c r="U7" s="58">
        <f t="shared" si="6"/>
        <v>0</v>
      </c>
      <c r="W7" s="103" t="s">
        <v>34</v>
      </c>
      <c r="X7" s="102"/>
      <c r="Y7" s="102"/>
      <c r="Z7" s="102"/>
      <c r="AA7" s="58">
        <f t="shared" si="7"/>
        <v>0</v>
      </c>
    </row>
    <row r="8" spans="2:27" ht="25" customHeight="1" x14ac:dyDescent="0.35">
      <c r="B8" s="48" t="s">
        <v>35</v>
      </c>
      <c r="C8" s="100">
        <f t="shared" si="0"/>
        <v>0</v>
      </c>
      <c r="D8" s="100">
        <f t="shared" si="0"/>
        <v>0</v>
      </c>
      <c r="E8" s="100">
        <f t="shared" si="0"/>
        <v>0</v>
      </c>
      <c r="F8" s="58">
        <f t="shared" si="1"/>
        <v>0</v>
      </c>
      <c r="G8" s="55">
        <f t="shared" si="2"/>
        <v>0</v>
      </c>
      <c r="H8" s="55">
        <f t="shared" si="3"/>
        <v>0</v>
      </c>
      <c r="I8" s="55">
        <f t="shared" si="4"/>
        <v>0</v>
      </c>
      <c r="J8" s="13"/>
      <c r="K8" s="101" t="s">
        <v>35</v>
      </c>
      <c r="L8" s="102"/>
      <c r="M8" s="102"/>
      <c r="N8" s="102"/>
      <c r="O8" s="58">
        <f t="shared" si="5"/>
        <v>0</v>
      </c>
      <c r="Q8" s="101" t="s">
        <v>35</v>
      </c>
      <c r="R8" s="102"/>
      <c r="S8" s="102"/>
      <c r="T8" s="102"/>
      <c r="U8" s="58">
        <f t="shared" si="6"/>
        <v>0</v>
      </c>
      <c r="W8" s="101" t="s">
        <v>35</v>
      </c>
      <c r="X8" s="102"/>
      <c r="Y8" s="102"/>
      <c r="Z8" s="102"/>
      <c r="AA8" s="58">
        <f t="shared" si="7"/>
        <v>0</v>
      </c>
    </row>
    <row r="9" spans="2:27" ht="25" customHeight="1" x14ac:dyDescent="0.25">
      <c r="B9" s="48" t="s">
        <v>36</v>
      </c>
      <c r="C9" s="100">
        <f t="shared" si="0"/>
        <v>0</v>
      </c>
      <c r="D9" s="100">
        <f t="shared" si="0"/>
        <v>0</v>
      </c>
      <c r="E9" s="100">
        <f t="shared" si="0"/>
        <v>0</v>
      </c>
      <c r="F9" s="58">
        <f t="shared" si="1"/>
        <v>0</v>
      </c>
      <c r="G9" s="55">
        <f t="shared" si="2"/>
        <v>0</v>
      </c>
      <c r="H9" s="55">
        <f t="shared" si="3"/>
        <v>0</v>
      </c>
      <c r="I9" s="55">
        <f t="shared" si="4"/>
        <v>0</v>
      </c>
      <c r="J9" s="13"/>
      <c r="K9" s="101" t="s">
        <v>36</v>
      </c>
      <c r="L9" s="102"/>
      <c r="M9" s="102"/>
      <c r="N9" s="102"/>
      <c r="O9" s="58">
        <f t="shared" si="5"/>
        <v>0</v>
      </c>
      <c r="Q9" s="101" t="s">
        <v>36</v>
      </c>
      <c r="R9" s="102"/>
      <c r="S9" s="102"/>
      <c r="T9" s="102"/>
      <c r="U9" s="58">
        <f t="shared" si="6"/>
        <v>0</v>
      </c>
      <c r="W9" s="101" t="s">
        <v>36</v>
      </c>
      <c r="X9" s="102"/>
      <c r="Y9" s="102"/>
      <c r="Z9" s="102"/>
      <c r="AA9" s="58">
        <f t="shared" si="7"/>
        <v>0</v>
      </c>
    </row>
    <row r="10" spans="2:27" ht="25" customHeight="1" x14ac:dyDescent="0.25">
      <c r="B10" s="49" t="s">
        <v>53</v>
      </c>
      <c r="C10" s="100">
        <f t="shared" si="0"/>
        <v>0</v>
      </c>
      <c r="D10" s="100">
        <f t="shared" si="0"/>
        <v>0</v>
      </c>
      <c r="E10" s="100">
        <f t="shared" si="0"/>
        <v>0</v>
      </c>
      <c r="F10" s="58">
        <f t="shared" si="1"/>
        <v>0</v>
      </c>
      <c r="G10" s="55">
        <f t="shared" si="2"/>
        <v>0</v>
      </c>
      <c r="H10" s="55">
        <f t="shared" si="3"/>
        <v>0</v>
      </c>
      <c r="I10" s="55">
        <f t="shared" si="4"/>
        <v>0</v>
      </c>
      <c r="J10" s="13"/>
      <c r="K10" s="103" t="s">
        <v>53</v>
      </c>
      <c r="L10" s="102"/>
      <c r="M10" s="102"/>
      <c r="N10" s="102"/>
      <c r="O10" s="58">
        <f t="shared" si="5"/>
        <v>0</v>
      </c>
      <c r="Q10" s="103" t="s">
        <v>53</v>
      </c>
      <c r="R10" s="102"/>
      <c r="S10" s="102"/>
      <c r="T10" s="102"/>
      <c r="U10" s="58">
        <f t="shared" si="6"/>
        <v>0</v>
      </c>
      <c r="W10" s="103" t="s">
        <v>53</v>
      </c>
      <c r="X10" s="102"/>
      <c r="Y10" s="102"/>
      <c r="Z10" s="102"/>
      <c r="AA10" s="58">
        <f t="shared" si="7"/>
        <v>0</v>
      </c>
    </row>
    <row r="11" spans="2:27" ht="25" customHeight="1" x14ac:dyDescent="0.25">
      <c r="B11" s="49" t="s">
        <v>37</v>
      </c>
      <c r="C11" s="100">
        <f t="shared" si="0"/>
        <v>0</v>
      </c>
      <c r="D11" s="100">
        <f t="shared" si="0"/>
        <v>0</v>
      </c>
      <c r="E11" s="100">
        <f t="shared" si="0"/>
        <v>0</v>
      </c>
      <c r="F11" s="58">
        <f t="shared" si="1"/>
        <v>0</v>
      </c>
      <c r="G11" s="55">
        <f t="shared" si="2"/>
        <v>0</v>
      </c>
      <c r="H11" s="55">
        <f t="shared" si="3"/>
        <v>0</v>
      </c>
      <c r="I11" s="55">
        <f t="shared" si="4"/>
        <v>0</v>
      </c>
      <c r="J11" s="13"/>
      <c r="K11" s="103" t="s">
        <v>37</v>
      </c>
      <c r="L11" s="102"/>
      <c r="M11" s="102"/>
      <c r="N11" s="102"/>
      <c r="O11" s="58">
        <f t="shared" si="5"/>
        <v>0</v>
      </c>
      <c r="Q11" s="103" t="s">
        <v>37</v>
      </c>
      <c r="R11" s="102"/>
      <c r="S11" s="102"/>
      <c r="T11" s="102"/>
      <c r="U11" s="58">
        <f t="shared" si="6"/>
        <v>0</v>
      </c>
      <c r="W11" s="103" t="s">
        <v>37</v>
      </c>
      <c r="X11" s="102"/>
      <c r="Y11" s="102"/>
      <c r="Z11" s="102"/>
      <c r="AA11" s="58">
        <f t="shared" si="7"/>
        <v>0</v>
      </c>
    </row>
    <row r="12" spans="2:27" ht="20.149999999999999" customHeight="1" x14ac:dyDescent="0.25">
      <c r="B12" s="56" t="s">
        <v>38</v>
      </c>
      <c r="C12" s="104">
        <f t="shared" ref="C12:I12" si="8">SUM(C5:C11)</f>
        <v>0</v>
      </c>
      <c r="D12" s="104">
        <f t="shared" si="8"/>
        <v>0</v>
      </c>
      <c r="E12" s="104">
        <f t="shared" si="8"/>
        <v>0</v>
      </c>
      <c r="F12" s="104">
        <f t="shared" si="8"/>
        <v>0</v>
      </c>
      <c r="G12" s="105">
        <f t="shared" si="8"/>
        <v>0</v>
      </c>
      <c r="H12" s="105">
        <f t="shared" si="8"/>
        <v>0</v>
      </c>
      <c r="I12" s="105">
        <f t="shared" si="8"/>
        <v>0</v>
      </c>
      <c r="K12" s="106" t="s">
        <v>38</v>
      </c>
      <c r="L12" s="104">
        <f>SUM(L5:L11)</f>
        <v>0</v>
      </c>
      <c r="M12" s="104">
        <f>SUM(M5:M11)</f>
        <v>0</v>
      </c>
      <c r="N12" s="104">
        <f>SUM(N5:N11)</f>
        <v>0</v>
      </c>
      <c r="O12" s="104">
        <f>SUM(O5:O11)</f>
        <v>0</v>
      </c>
      <c r="Q12" s="106" t="s">
        <v>38</v>
      </c>
      <c r="R12" s="104">
        <f>SUM(R5:R11)</f>
        <v>0</v>
      </c>
      <c r="S12" s="104">
        <f>SUM(S5:S11)</f>
        <v>0</v>
      </c>
      <c r="T12" s="104">
        <f>SUM(T5:T11)</f>
        <v>0</v>
      </c>
      <c r="U12" s="104">
        <f>SUM(U5:U11)</f>
        <v>0</v>
      </c>
      <c r="W12" s="106" t="s">
        <v>38</v>
      </c>
      <c r="X12" s="104">
        <f>SUM(X5:X11)</f>
        <v>0</v>
      </c>
      <c r="Y12" s="104">
        <f>SUM(Y5:Y11)</f>
        <v>0</v>
      </c>
      <c r="Z12" s="104">
        <f>SUM(Z5:Z11)</f>
        <v>0</v>
      </c>
      <c r="AA12" s="104">
        <f>SUM(AA5:AA11)</f>
        <v>0</v>
      </c>
    </row>
    <row r="13" spans="2:27" ht="28.5" customHeight="1" x14ac:dyDescent="0.25">
      <c r="B13" s="518" t="s">
        <v>39</v>
      </c>
      <c r="C13" s="519"/>
      <c r="D13" s="519"/>
      <c r="E13" s="519"/>
      <c r="F13" s="519"/>
      <c r="G13" s="519"/>
      <c r="H13" s="519"/>
      <c r="I13" s="520"/>
      <c r="K13" s="518" t="s">
        <v>39</v>
      </c>
      <c r="L13" s="519"/>
      <c r="M13" s="519"/>
      <c r="N13" s="519"/>
      <c r="O13" s="519"/>
      <c r="Q13" s="518" t="s">
        <v>39</v>
      </c>
      <c r="R13" s="519"/>
      <c r="S13" s="519"/>
      <c r="T13" s="519"/>
      <c r="U13" s="519"/>
      <c r="W13" s="518" t="s">
        <v>39</v>
      </c>
      <c r="X13" s="519"/>
      <c r="Y13" s="519"/>
      <c r="Z13" s="519"/>
      <c r="AA13" s="519"/>
    </row>
    <row r="14" spans="2:27" ht="20.149999999999999" customHeight="1" x14ac:dyDescent="0.25">
      <c r="B14" s="51" t="s">
        <v>31</v>
      </c>
      <c r="C14" s="51">
        <v>2018</v>
      </c>
      <c r="D14" s="51">
        <v>2019</v>
      </c>
      <c r="E14" s="51">
        <v>2020</v>
      </c>
      <c r="F14" s="9" t="s">
        <v>1</v>
      </c>
      <c r="G14" s="52" t="s">
        <v>2</v>
      </c>
      <c r="H14" s="53" t="s">
        <v>3</v>
      </c>
      <c r="I14" s="98" t="s">
        <v>4</v>
      </c>
      <c r="K14" s="99" t="s">
        <v>31</v>
      </c>
      <c r="L14" s="51">
        <v>2018</v>
      </c>
      <c r="M14" s="51">
        <v>2019</v>
      </c>
      <c r="N14" s="51">
        <v>2020</v>
      </c>
      <c r="O14" s="9" t="s">
        <v>1</v>
      </c>
      <c r="Q14" s="99" t="s">
        <v>31</v>
      </c>
      <c r="R14" s="51">
        <v>2018</v>
      </c>
      <c r="S14" s="51">
        <v>2019</v>
      </c>
      <c r="T14" s="51">
        <v>2020</v>
      </c>
      <c r="U14" s="9" t="s">
        <v>1</v>
      </c>
      <c r="W14" s="99" t="s">
        <v>31</v>
      </c>
      <c r="X14" s="51">
        <v>2018</v>
      </c>
      <c r="Y14" s="51">
        <v>2019</v>
      </c>
      <c r="Z14" s="51">
        <v>2020</v>
      </c>
      <c r="AA14" s="9" t="s">
        <v>1</v>
      </c>
    </row>
    <row r="15" spans="2:27" ht="25" customHeight="1" x14ac:dyDescent="0.25">
      <c r="B15" s="48" t="s">
        <v>32</v>
      </c>
      <c r="C15" s="100">
        <f t="shared" ref="C15:E21" si="9">L15+R15+X15</f>
        <v>0</v>
      </c>
      <c r="D15" s="100">
        <f t="shared" si="9"/>
        <v>0</v>
      </c>
      <c r="E15" s="100">
        <f t="shared" si="9"/>
        <v>0</v>
      </c>
      <c r="F15" s="58">
        <f>SUM(C15:E15)</f>
        <v>0</v>
      </c>
      <c r="G15" s="107">
        <f>O15</f>
        <v>0</v>
      </c>
      <c r="H15" s="107">
        <f>U15</f>
        <v>0</v>
      </c>
      <c r="I15" s="107">
        <f>AA15</f>
        <v>0</v>
      </c>
      <c r="K15" s="101" t="s">
        <v>32</v>
      </c>
      <c r="L15" s="102"/>
      <c r="M15" s="102"/>
      <c r="N15" s="102"/>
      <c r="O15" s="58">
        <f>SUM(L15:N15)</f>
        <v>0</v>
      </c>
      <c r="Q15" s="101" t="s">
        <v>32</v>
      </c>
      <c r="R15" s="102"/>
      <c r="S15" s="102"/>
      <c r="T15" s="102"/>
      <c r="U15" s="58">
        <f>SUM(R15:T15)</f>
        <v>0</v>
      </c>
      <c r="W15" s="101" t="s">
        <v>32</v>
      </c>
      <c r="X15" s="102"/>
      <c r="Y15" s="102"/>
      <c r="Z15" s="102"/>
      <c r="AA15" s="58">
        <f>SUM(X15:Z15)</f>
        <v>0</v>
      </c>
    </row>
    <row r="16" spans="2:27" ht="25" customHeight="1" x14ac:dyDescent="0.35">
      <c r="B16" s="48" t="s">
        <v>33</v>
      </c>
      <c r="C16" s="100">
        <f t="shared" si="9"/>
        <v>0</v>
      </c>
      <c r="D16" s="100">
        <f t="shared" si="9"/>
        <v>0</v>
      </c>
      <c r="E16" s="100">
        <f t="shared" si="9"/>
        <v>0</v>
      </c>
      <c r="F16" s="58">
        <f t="shared" ref="F16:F21" si="10">SUM(C16:E16)</f>
        <v>0</v>
      </c>
      <c r="G16" s="107">
        <f t="shared" ref="G16:G21" si="11">O16</f>
        <v>0</v>
      </c>
      <c r="H16" s="107">
        <f t="shared" ref="H16:H21" si="12">U16</f>
        <v>0</v>
      </c>
      <c r="I16" s="107">
        <f t="shared" ref="I16:I21" si="13">AA16</f>
        <v>0</v>
      </c>
      <c r="K16" s="101" t="s">
        <v>33</v>
      </c>
      <c r="L16" s="102"/>
      <c r="M16" s="102"/>
      <c r="N16" s="102"/>
      <c r="O16" s="58">
        <f t="shared" ref="O16:O21" si="14">SUM(L16:N16)</f>
        <v>0</v>
      </c>
      <c r="Q16" s="101" t="s">
        <v>33</v>
      </c>
      <c r="R16" s="102"/>
      <c r="S16" s="102"/>
      <c r="T16" s="102"/>
      <c r="U16" s="58">
        <f t="shared" ref="U16:U21" si="15">SUM(R16:T16)</f>
        <v>0</v>
      </c>
      <c r="W16" s="101" t="s">
        <v>33</v>
      </c>
      <c r="X16" s="102"/>
      <c r="Y16" s="102"/>
      <c r="Z16" s="102"/>
      <c r="AA16" s="58">
        <f t="shared" ref="AA16:AA21" si="16">SUM(X16:Z16)</f>
        <v>0</v>
      </c>
    </row>
    <row r="17" spans="2:27" ht="25" customHeight="1" x14ac:dyDescent="0.35">
      <c r="B17" s="49" t="s">
        <v>34</v>
      </c>
      <c r="C17" s="100">
        <f t="shared" si="9"/>
        <v>0</v>
      </c>
      <c r="D17" s="100">
        <f t="shared" si="9"/>
        <v>0</v>
      </c>
      <c r="E17" s="100">
        <f t="shared" si="9"/>
        <v>0</v>
      </c>
      <c r="F17" s="58">
        <f t="shared" si="10"/>
        <v>0</v>
      </c>
      <c r="G17" s="107">
        <f t="shared" si="11"/>
        <v>0</v>
      </c>
      <c r="H17" s="107">
        <f t="shared" si="12"/>
        <v>0</v>
      </c>
      <c r="I17" s="107">
        <f t="shared" si="13"/>
        <v>0</v>
      </c>
      <c r="K17" s="103" t="s">
        <v>34</v>
      </c>
      <c r="L17" s="102"/>
      <c r="M17" s="102"/>
      <c r="N17" s="102"/>
      <c r="O17" s="58">
        <f t="shared" si="14"/>
        <v>0</v>
      </c>
      <c r="Q17" s="103" t="s">
        <v>34</v>
      </c>
      <c r="R17" s="102"/>
      <c r="S17" s="102"/>
      <c r="T17" s="102"/>
      <c r="U17" s="58">
        <f t="shared" si="15"/>
        <v>0</v>
      </c>
      <c r="W17" s="103" t="s">
        <v>34</v>
      </c>
      <c r="X17" s="102"/>
      <c r="Y17" s="102"/>
      <c r="Z17" s="102"/>
      <c r="AA17" s="58">
        <f t="shared" si="16"/>
        <v>0</v>
      </c>
    </row>
    <row r="18" spans="2:27" ht="25" customHeight="1" x14ac:dyDescent="0.35">
      <c r="B18" s="48" t="s">
        <v>35</v>
      </c>
      <c r="C18" s="100">
        <f t="shared" si="9"/>
        <v>0</v>
      </c>
      <c r="D18" s="100">
        <f t="shared" si="9"/>
        <v>0</v>
      </c>
      <c r="E18" s="100">
        <f t="shared" si="9"/>
        <v>0</v>
      </c>
      <c r="F18" s="58">
        <f t="shared" si="10"/>
        <v>0</v>
      </c>
      <c r="G18" s="107">
        <f t="shared" si="11"/>
        <v>0</v>
      </c>
      <c r="H18" s="107">
        <f t="shared" si="12"/>
        <v>0</v>
      </c>
      <c r="I18" s="107">
        <f t="shared" si="13"/>
        <v>0</v>
      </c>
      <c r="K18" s="101" t="s">
        <v>35</v>
      </c>
      <c r="L18" s="102"/>
      <c r="M18" s="102"/>
      <c r="N18" s="102"/>
      <c r="O18" s="58">
        <f t="shared" si="14"/>
        <v>0</v>
      </c>
      <c r="Q18" s="101" t="s">
        <v>35</v>
      </c>
      <c r="R18" s="102"/>
      <c r="S18" s="102"/>
      <c r="T18" s="102"/>
      <c r="U18" s="58">
        <f t="shared" si="15"/>
        <v>0</v>
      </c>
      <c r="W18" s="101" t="s">
        <v>35</v>
      </c>
      <c r="X18" s="102"/>
      <c r="Y18" s="102"/>
      <c r="Z18" s="102"/>
      <c r="AA18" s="58">
        <f t="shared" si="16"/>
        <v>0</v>
      </c>
    </row>
    <row r="19" spans="2:27" ht="25" customHeight="1" x14ac:dyDescent="0.35">
      <c r="B19" s="48" t="s">
        <v>36</v>
      </c>
      <c r="C19" s="100">
        <f t="shared" si="9"/>
        <v>0</v>
      </c>
      <c r="D19" s="100">
        <f t="shared" si="9"/>
        <v>0</v>
      </c>
      <c r="E19" s="100">
        <f t="shared" si="9"/>
        <v>0</v>
      </c>
      <c r="F19" s="58">
        <f t="shared" si="10"/>
        <v>0</v>
      </c>
      <c r="G19" s="107">
        <f t="shared" si="11"/>
        <v>0</v>
      </c>
      <c r="H19" s="107">
        <f t="shared" si="12"/>
        <v>0</v>
      </c>
      <c r="I19" s="107">
        <f t="shared" si="13"/>
        <v>0</v>
      </c>
      <c r="K19" s="101" t="s">
        <v>36</v>
      </c>
      <c r="L19" s="102"/>
      <c r="M19" s="102"/>
      <c r="N19" s="102"/>
      <c r="O19" s="58">
        <f t="shared" si="14"/>
        <v>0</v>
      </c>
      <c r="Q19" s="101" t="s">
        <v>36</v>
      </c>
      <c r="R19" s="102"/>
      <c r="S19" s="102"/>
      <c r="T19" s="102"/>
      <c r="U19" s="58">
        <f t="shared" si="15"/>
        <v>0</v>
      </c>
      <c r="W19" s="101" t="s">
        <v>36</v>
      </c>
      <c r="X19" s="102"/>
      <c r="Y19" s="102"/>
      <c r="Z19" s="102"/>
      <c r="AA19" s="58">
        <f t="shared" si="16"/>
        <v>0</v>
      </c>
    </row>
    <row r="20" spans="2:27" ht="25" customHeight="1" x14ac:dyDescent="0.35">
      <c r="B20" s="49" t="s">
        <v>53</v>
      </c>
      <c r="C20" s="100">
        <f t="shared" si="9"/>
        <v>0</v>
      </c>
      <c r="D20" s="100">
        <f t="shared" si="9"/>
        <v>0</v>
      </c>
      <c r="E20" s="100">
        <f t="shared" si="9"/>
        <v>0</v>
      </c>
      <c r="F20" s="58">
        <f t="shared" si="10"/>
        <v>0</v>
      </c>
      <c r="G20" s="107">
        <f t="shared" si="11"/>
        <v>0</v>
      </c>
      <c r="H20" s="107">
        <f t="shared" si="12"/>
        <v>0</v>
      </c>
      <c r="I20" s="107">
        <f t="shared" si="13"/>
        <v>0</v>
      </c>
      <c r="K20" s="103" t="s">
        <v>53</v>
      </c>
      <c r="L20" s="102"/>
      <c r="M20" s="102"/>
      <c r="N20" s="102"/>
      <c r="O20" s="58">
        <f t="shared" si="14"/>
        <v>0</v>
      </c>
      <c r="Q20" s="103" t="s">
        <v>53</v>
      </c>
      <c r="R20" s="102"/>
      <c r="S20" s="102"/>
      <c r="T20" s="102"/>
      <c r="U20" s="58">
        <f t="shared" si="15"/>
        <v>0</v>
      </c>
      <c r="W20" s="103" t="s">
        <v>53</v>
      </c>
      <c r="X20" s="102"/>
      <c r="Y20" s="102"/>
      <c r="Z20" s="102"/>
      <c r="AA20" s="58">
        <f t="shared" si="16"/>
        <v>0</v>
      </c>
    </row>
    <row r="21" spans="2:27" ht="25" customHeight="1" x14ac:dyDescent="0.35">
      <c r="B21" s="49" t="s">
        <v>37</v>
      </c>
      <c r="C21" s="100">
        <f t="shared" si="9"/>
        <v>0</v>
      </c>
      <c r="D21" s="100">
        <f t="shared" si="9"/>
        <v>0</v>
      </c>
      <c r="E21" s="100">
        <f t="shared" si="9"/>
        <v>0</v>
      </c>
      <c r="F21" s="58">
        <f t="shared" si="10"/>
        <v>0</v>
      </c>
      <c r="G21" s="107">
        <f t="shared" si="11"/>
        <v>0</v>
      </c>
      <c r="H21" s="107">
        <f t="shared" si="12"/>
        <v>0</v>
      </c>
      <c r="I21" s="107">
        <f t="shared" si="13"/>
        <v>0</v>
      </c>
      <c r="K21" s="103" t="s">
        <v>37</v>
      </c>
      <c r="L21" s="102"/>
      <c r="M21" s="102"/>
      <c r="N21" s="102"/>
      <c r="O21" s="58">
        <f t="shared" si="14"/>
        <v>0</v>
      </c>
      <c r="Q21" s="103" t="s">
        <v>37</v>
      </c>
      <c r="R21" s="102"/>
      <c r="S21" s="102"/>
      <c r="T21" s="102"/>
      <c r="U21" s="58">
        <f t="shared" si="15"/>
        <v>0</v>
      </c>
      <c r="W21" s="103" t="s">
        <v>37</v>
      </c>
      <c r="X21" s="102"/>
      <c r="Y21" s="102"/>
      <c r="Z21" s="102"/>
      <c r="AA21" s="58">
        <f t="shared" si="16"/>
        <v>0</v>
      </c>
    </row>
    <row r="22" spans="2:27" ht="20.149999999999999" customHeight="1" x14ac:dyDescent="0.35">
      <c r="B22" s="60" t="s">
        <v>38</v>
      </c>
      <c r="C22" s="60">
        <f t="shared" ref="C22:I22" si="17">SUM(C15:C21)</f>
        <v>0</v>
      </c>
      <c r="D22" s="60">
        <f t="shared" si="17"/>
        <v>0</v>
      </c>
      <c r="E22" s="60">
        <f t="shared" si="17"/>
        <v>0</v>
      </c>
      <c r="F22" s="60">
        <f t="shared" si="17"/>
        <v>0</v>
      </c>
      <c r="G22" s="108">
        <f t="shared" si="17"/>
        <v>0</v>
      </c>
      <c r="H22" s="108">
        <f t="shared" si="17"/>
        <v>0</v>
      </c>
      <c r="I22" s="108">
        <f t="shared" si="17"/>
        <v>0</v>
      </c>
      <c r="K22" s="109" t="s">
        <v>38</v>
      </c>
      <c r="L22" s="60">
        <f>SUM(L15:L21)</f>
        <v>0</v>
      </c>
      <c r="M22" s="60">
        <f>SUM(M15:M21)</f>
        <v>0</v>
      </c>
      <c r="N22" s="60">
        <f>SUM(N15:N21)</f>
        <v>0</v>
      </c>
      <c r="O22" s="60">
        <f>SUM(O15:O21)</f>
        <v>0</v>
      </c>
      <c r="Q22" s="109" t="s">
        <v>38</v>
      </c>
      <c r="R22" s="60">
        <f>SUM(R15:R21)</f>
        <v>0</v>
      </c>
      <c r="S22" s="60">
        <f>SUM(S15:S21)</f>
        <v>0</v>
      </c>
      <c r="T22" s="60">
        <f>SUM(T15:T21)</f>
        <v>0</v>
      </c>
      <c r="U22" s="60">
        <f>SUM(U15:U21)</f>
        <v>0</v>
      </c>
      <c r="W22" s="109" t="s">
        <v>38</v>
      </c>
      <c r="X22" s="60">
        <f>SUM(X15:X21)</f>
        <v>0</v>
      </c>
      <c r="Y22" s="60">
        <f>SUM(Y15:Y21)</f>
        <v>0</v>
      </c>
      <c r="Z22" s="60">
        <f>SUM(Z15:Z21)</f>
        <v>0</v>
      </c>
      <c r="AA22" s="60">
        <f>SUM(AA15:AA21)</f>
        <v>0</v>
      </c>
    </row>
    <row r="23" spans="2:27" ht="20.149999999999999" customHeight="1" x14ac:dyDescent="0.35">
      <c r="B23" s="62" t="s">
        <v>40</v>
      </c>
      <c r="C23" s="63">
        <f t="shared" ref="C23:I23" si="18">C22+C12</f>
        <v>0</v>
      </c>
      <c r="D23" s="63">
        <f t="shared" si="18"/>
        <v>0</v>
      </c>
      <c r="E23" s="63">
        <f t="shared" si="18"/>
        <v>0</v>
      </c>
      <c r="F23" s="63">
        <f t="shared" si="18"/>
        <v>0</v>
      </c>
      <c r="G23" s="107">
        <f t="shared" si="18"/>
        <v>0</v>
      </c>
      <c r="H23" s="107">
        <f t="shared" si="18"/>
        <v>0</v>
      </c>
      <c r="I23" s="107">
        <f t="shared" si="18"/>
        <v>0</v>
      </c>
      <c r="K23" s="110" t="s">
        <v>40</v>
      </c>
      <c r="L23" s="63">
        <f>L22+L12</f>
        <v>0</v>
      </c>
      <c r="M23" s="63">
        <f>M22+M12</f>
        <v>0</v>
      </c>
      <c r="N23" s="63">
        <f>N22+N12</f>
        <v>0</v>
      </c>
      <c r="O23" s="63">
        <f>O22+O12</f>
        <v>0</v>
      </c>
      <c r="Q23" s="110" t="s">
        <v>40</v>
      </c>
      <c r="R23" s="63">
        <f>R22+R12</f>
        <v>0</v>
      </c>
      <c r="S23" s="63">
        <f>S22+S12</f>
        <v>0</v>
      </c>
      <c r="T23" s="63">
        <f>T22+T12</f>
        <v>0</v>
      </c>
      <c r="U23" s="63">
        <f>U22+U12</f>
        <v>0</v>
      </c>
      <c r="W23" s="110" t="s">
        <v>40</v>
      </c>
      <c r="X23" s="63">
        <f>X12+X22</f>
        <v>0</v>
      </c>
      <c r="Y23" s="63">
        <f>Y12+Y22</f>
        <v>0</v>
      </c>
      <c r="Z23" s="63">
        <f>Z12+Z22</f>
        <v>0</v>
      </c>
      <c r="AA23" s="63">
        <f>AA12+AA22</f>
        <v>0</v>
      </c>
    </row>
    <row r="24" spans="2:27" ht="20.149999999999999" customHeight="1" x14ac:dyDescent="0.35">
      <c r="B24" s="62" t="s">
        <v>41</v>
      </c>
      <c r="C24" s="63">
        <f t="shared" ref="C24:I24" si="19">0.07*C23</f>
        <v>0</v>
      </c>
      <c r="D24" s="63">
        <f t="shared" si="19"/>
        <v>0</v>
      </c>
      <c r="E24" s="63">
        <f t="shared" si="19"/>
        <v>0</v>
      </c>
      <c r="F24" s="63">
        <f t="shared" si="19"/>
        <v>0</v>
      </c>
      <c r="G24" s="107">
        <f t="shared" si="19"/>
        <v>0</v>
      </c>
      <c r="H24" s="107">
        <f t="shared" si="19"/>
        <v>0</v>
      </c>
      <c r="I24" s="107">
        <f t="shared" si="19"/>
        <v>0</v>
      </c>
      <c r="K24" s="110" t="s">
        <v>41</v>
      </c>
      <c r="L24" s="63">
        <f>0.07*L23</f>
        <v>0</v>
      </c>
      <c r="M24" s="63">
        <f>0.07*M23</f>
        <v>0</v>
      </c>
      <c r="N24" s="63">
        <f>0.07*N23</f>
        <v>0</v>
      </c>
      <c r="O24" s="63">
        <f>0.07*O23</f>
        <v>0</v>
      </c>
      <c r="Q24" s="110" t="s">
        <v>41</v>
      </c>
      <c r="R24" s="63">
        <f>0.07*R23</f>
        <v>0</v>
      </c>
      <c r="S24" s="63">
        <f>0.07*S23</f>
        <v>0</v>
      </c>
      <c r="T24" s="63">
        <f>0.07*T23</f>
        <v>0</v>
      </c>
      <c r="U24" s="63">
        <f>0.07*U23</f>
        <v>0</v>
      </c>
      <c r="W24" s="110" t="s">
        <v>41</v>
      </c>
      <c r="X24" s="63">
        <f>0.07*X23</f>
        <v>0</v>
      </c>
      <c r="Y24" s="63">
        <f>0.07*Y23</f>
        <v>0</v>
      </c>
      <c r="Z24" s="63">
        <f>0.07*Z23</f>
        <v>0</v>
      </c>
      <c r="AA24" s="63">
        <f>0.07*AA23</f>
        <v>0</v>
      </c>
    </row>
    <row r="25" spans="2:27" ht="20.149999999999999" customHeight="1" x14ac:dyDescent="0.35">
      <c r="B25" s="64" t="s">
        <v>42</v>
      </c>
      <c r="C25" s="111">
        <f>C23+C24</f>
        <v>0</v>
      </c>
      <c r="D25" s="111">
        <f>D23+D24</f>
        <v>0</v>
      </c>
      <c r="E25" s="111">
        <f>E23+E24</f>
        <v>0</v>
      </c>
      <c r="F25" s="111">
        <f>F23+F24</f>
        <v>0</v>
      </c>
      <c r="G25" s="112">
        <f>SUM(G23:G24)</f>
        <v>0</v>
      </c>
      <c r="H25" s="112">
        <f>SUM(H23:H24)</f>
        <v>0</v>
      </c>
      <c r="I25" s="112">
        <f>SUM(I23:I24)</f>
        <v>0</v>
      </c>
      <c r="K25" s="113" t="s">
        <v>42</v>
      </c>
      <c r="L25" s="111">
        <f>SUM(L23:L24)</f>
        <v>0</v>
      </c>
      <c r="M25" s="111">
        <f>SUM(M23:M24)</f>
        <v>0</v>
      </c>
      <c r="N25" s="111">
        <f>SUM(N23:N24)</f>
        <v>0</v>
      </c>
      <c r="O25" s="111">
        <f>SUM(O23:O24)</f>
        <v>0</v>
      </c>
      <c r="Q25" s="113" t="s">
        <v>42</v>
      </c>
      <c r="R25" s="111">
        <f>SUM(R23:R24)</f>
        <v>0</v>
      </c>
      <c r="S25" s="111">
        <f>SUM(S23:S24)</f>
        <v>0</v>
      </c>
      <c r="T25" s="111">
        <f>SUM(T23:T24)</f>
        <v>0</v>
      </c>
      <c r="U25" s="111">
        <f>SUM(U23:U24)</f>
        <v>0</v>
      </c>
      <c r="W25" s="113" t="s">
        <v>42</v>
      </c>
      <c r="X25" s="111">
        <f>SUM(X23:X24)</f>
        <v>0</v>
      </c>
      <c r="Y25" s="111">
        <f>SUM(Y23:Y24)</f>
        <v>0</v>
      </c>
      <c r="Z25" s="111">
        <f>SUM(Z23:Z24)</f>
        <v>0</v>
      </c>
      <c r="AA25" s="111">
        <f>SUM(AA23:AA24)</f>
        <v>0</v>
      </c>
    </row>
    <row r="26" spans="2:27" x14ac:dyDescent="0.35">
      <c r="C26" s="8"/>
      <c r="D26" s="8"/>
      <c r="E26" s="8"/>
      <c r="F26" s="8"/>
      <c r="G26" s="7"/>
      <c r="H26" s="7"/>
    </row>
    <row r="27" spans="2:27" x14ac:dyDescent="0.35">
      <c r="C27" s="8"/>
      <c r="D27" s="8"/>
      <c r="E27" s="8"/>
      <c r="F27" s="8"/>
      <c r="G27" s="6"/>
      <c r="H27" s="6"/>
    </row>
  </sheetData>
  <mergeCells count="9">
    <mergeCell ref="B13:I13"/>
    <mergeCell ref="K13:O13"/>
    <mergeCell ref="Q13:U13"/>
    <mergeCell ref="W13:AA13"/>
    <mergeCell ref="B2:I2"/>
    <mergeCell ref="B3:I3"/>
    <mergeCell ref="K3:O3"/>
    <mergeCell ref="Q3:U3"/>
    <mergeCell ref="W3:AA3"/>
  </mergeCells>
  <printOptions horizontalCentered="1"/>
  <pageMargins left="0.23622047244094491" right="0.23622047244094491" top="0.74803149606299213" bottom="0.74803149606299213" header="0.31496062992125984" footer="0.31496062992125984"/>
  <pageSetup paperSize="8" scale="74" fitToHeight="13"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H20"/>
  <sheetViews>
    <sheetView showGridLines="0" zoomScaleNormal="100" zoomScaleSheetLayoutView="75" workbookViewId="0">
      <selection activeCell="H15" sqref="H15"/>
    </sheetView>
  </sheetViews>
  <sheetFormatPr defaultColWidth="23.7265625" defaultRowHeight="14.5" x14ac:dyDescent="0.35"/>
  <cols>
    <col min="1" max="1" width="2.7265625" style="1" customWidth="1"/>
    <col min="2" max="2" width="46" style="2" customWidth="1"/>
    <col min="3" max="3" width="13.26953125" style="1" customWidth="1"/>
    <col min="4" max="5" width="12.26953125" style="1" customWidth="1"/>
    <col min="6" max="6" width="12.81640625" style="1" customWidth="1"/>
    <col min="7" max="16384" width="23.7265625" style="1"/>
  </cols>
  <sheetData>
    <row r="2" spans="2:8" ht="24.75" customHeight="1" thickBot="1" x14ac:dyDescent="0.4">
      <c r="B2" s="525" t="s">
        <v>54</v>
      </c>
      <c r="C2" s="525"/>
      <c r="D2" s="525"/>
      <c r="E2" s="525"/>
      <c r="F2" s="525"/>
    </row>
    <row r="3" spans="2:8" ht="33" customHeight="1" x14ac:dyDescent="0.35">
      <c r="B3" s="522" t="s">
        <v>30</v>
      </c>
      <c r="C3" s="523"/>
      <c r="D3" s="523"/>
      <c r="E3" s="523"/>
      <c r="F3" s="524"/>
      <c r="G3" s="4"/>
      <c r="H3" s="4"/>
    </row>
    <row r="4" spans="2:8" ht="20.149999999999999" customHeight="1" x14ac:dyDescent="0.35">
      <c r="B4" s="51" t="s">
        <v>31</v>
      </c>
      <c r="C4" s="51">
        <v>2018</v>
      </c>
      <c r="D4" s="52" t="s">
        <v>2</v>
      </c>
      <c r="E4" s="53" t="s">
        <v>3</v>
      </c>
      <c r="F4" s="52" t="s">
        <v>4</v>
      </c>
      <c r="G4" s="5"/>
      <c r="H4" s="3"/>
    </row>
    <row r="5" spans="2:8" ht="20.149999999999999" customHeight="1" x14ac:dyDescent="0.35">
      <c r="B5" s="48" t="s">
        <v>32</v>
      </c>
      <c r="C5" s="54" t="e">
        <f>'Costa de Marfil'!F7+'Rep. de Congo'!F7+Zambia!F7+Indonesia!F7+Myanmar!F7+'Viet Nam'!F7+'Enfoque territorial'!F7+'Tenencia-derechos PI'!F7+NFMS!C22+#REF!+'Temas transversales y comunica.'!F7</f>
        <v>#REF!</v>
      </c>
      <c r="D5" s="55" t="e">
        <f>C5-100000</f>
        <v>#REF!</v>
      </c>
      <c r="E5" s="55"/>
      <c r="F5" s="55">
        <f>[4]Africa!G5+[4]Asia!F5+[4]LAC!F5+'[4]Global Com'!F5</f>
        <v>100000</v>
      </c>
      <c r="G5" s="5"/>
      <c r="H5" s="3"/>
    </row>
    <row r="6" spans="2:8" ht="20.149999999999999" customHeight="1" x14ac:dyDescent="0.35">
      <c r="B6" s="48" t="s">
        <v>36</v>
      </c>
      <c r="C6" s="54" t="e">
        <f>'Costa de Marfil'!F8+'Rep. de Congo'!F9+Zambia!F8+Indonesia!F8+Myanmar!F8+'Viet Nam'!F8+'Enfoque territorial'!F8+'Tenencia-derechos PI'!F8+NFMS!C23+#REF!+'Temas transversales y comunica.'!F8</f>
        <v>#REF!</v>
      </c>
      <c r="D6" s="55" t="e">
        <f>C6-50000</f>
        <v>#REF!</v>
      </c>
      <c r="E6" s="55"/>
      <c r="F6" s="55">
        <f>[4]Africa!G9+[4]Asia!F9+[4]LAC!F9+'[4]Global Com'!F9</f>
        <v>50000</v>
      </c>
      <c r="G6" s="5"/>
      <c r="H6" s="3"/>
    </row>
    <row r="7" spans="2:8" ht="20.149999999999999" customHeight="1" x14ac:dyDescent="0.35">
      <c r="B7" s="49" t="s">
        <v>37</v>
      </c>
      <c r="C7" s="54" t="e">
        <f>'Costa de Marfil'!F9+'Rep. de Congo'!F10+Zambia!F9+Indonesia!F9+Myanmar!F9+'Viet Nam'!F9+'Enfoque territorial'!F9+'Tenencia-derechos PI'!F9+NFMS!C24+#REF!+'Temas transversales y comunica.'!F9</f>
        <v>#REF!</v>
      </c>
      <c r="D7" s="55" t="e">
        <f>C7-50000</f>
        <v>#REF!</v>
      </c>
      <c r="E7" s="55"/>
      <c r="F7" s="55">
        <f>[4]Africa!G11+[4]Asia!F11+[4]LAC!F11+'[4]Global Com'!F11</f>
        <v>50000</v>
      </c>
      <c r="G7" s="5"/>
      <c r="H7" s="3"/>
    </row>
    <row r="8" spans="2:8" ht="20.149999999999999" customHeight="1" x14ac:dyDescent="0.35">
      <c r="B8" s="56" t="s">
        <v>38</v>
      </c>
      <c r="C8" s="57" t="e">
        <f>SUM(C5:C7)</f>
        <v>#REF!</v>
      </c>
      <c r="D8" s="57" t="e">
        <f>SUM(D5:D7)</f>
        <v>#REF!</v>
      </c>
      <c r="E8" s="57"/>
      <c r="F8" s="57">
        <f>SUM(F5:F7)</f>
        <v>200000</v>
      </c>
      <c r="G8" s="3"/>
    </row>
    <row r="9" spans="2:8" ht="28.5" customHeight="1" x14ac:dyDescent="0.25">
      <c r="B9" s="518" t="s">
        <v>39</v>
      </c>
      <c r="C9" s="519"/>
      <c r="D9" s="519"/>
      <c r="E9" s="519"/>
      <c r="F9" s="520"/>
    </row>
    <row r="10" spans="2:8" ht="20.149999999999999" customHeight="1" x14ac:dyDescent="0.25">
      <c r="B10" s="51" t="s">
        <v>31</v>
      </c>
      <c r="C10" s="51">
        <v>2018</v>
      </c>
      <c r="D10" s="52" t="s">
        <v>2</v>
      </c>
      <c r="E10" s="53" t="s">
        <v>3</v>
      </c>
      <c r="F10" s="52" t="s">
        <v>4</v>
      </c>
    </row>
    <row r="11" spans="2:8" ht="20.149999999999999" customHeight="1" x14ac:dyDescent="0.25">
      <c r="B11" s="48" t="s">
        <v>32</v>
      </c>
      <c r="C11" s="58" t="e">
        <f>'Costa de Marfil'!F50+'Rep. de Congo'!F15+Zambia!#REF!+Indonesia!#REF!+Myanmar!#REF!+'Viet Nam'!#REF!+Colombia!#REF!+México!#REF!+#REF!+'Enfoque territorial'!E42+'Tenencia-derechos PI'!E40+'Financiación y sector privado'!C21+#REF!+#REF!+'Temas transversales y comunica.'!C39</f>
        <v>#REF!</v>
      </c>
      <c r="D11" s="59" t="e">
        <f>'Costa de Marfil'!C50+'Rep. de Congo'!F15+Zambia!#REF!+Indonesia!#REF!+Myanmar!#REF!+'Viet Nam'!#REF!+Colombia!#REF!+México!#REF!+#REF!+'Enfoque territorial'!C42+'Tenencia-derechos PI'!C40</f>
        <v>#REF!</v>
      </c>
      <c r="E11" s="59" t="e">
        <f>'Costa de Marfil'!D41+Zambia!D41+Indonesia!D38+Myanmar!D33+'Viet Nam'!D29+Colombia!#REF!+México!#REF!+#REF!+'Tenencia-derechos PI'!D30+#REF!+#REF!</f>
        <v>#REF!</v>
      </c>
      <c r="F11" s="59" t="e">
        <f>'Costa de Marfil'!E50+Zambia!#REF!+Indonesia!#REF!+Myanmar!#REF!+Colombia!#REF!+México!#REF!+#REF!+'Enfoque territorial'!D42+'Financiación y sector privado'!C21+'Temas transversales y comunica.'!C39</f>
        <v>#REF!</v>
      </c>
      <c r="G11" s="6"/>
    </row>
    <row r="12" spans="2:8" ht="20.149999999999999" customHeight="1" x14ac:dyDescent="0.25">
      <c r="B12" s="48" t="s">
        <v>35</v>
      </c>
      <c r="C12" s="58">
        <f>'Temas transversales y comunica.'!C42</f>
        <v>30000</v>
      </c>
      <c r="D12" s="59"/>
      <c r="E12" s="59"/>
      <c r="F12" s="59">
        <f>'Temas transversales y comunica.'!C42</f>
        <v>30000</v>
      </c>
    </row>
    <row r="13" spans="2:8" ht="20.149999999999999" customHeight="1" x14ac:dyDescent="0.25">
      <c r="B13" s="48" t="s">
        <v>36</v>
      </c>
      <c r="C13" s="58" t="e">
        <f>'Costa de Marfil'!F51+'Rep. de Congo'!F16+Zambia!#REF!+Indonesia!#REF!+Myanmar!#REF!+'Viet Nam'!#REF!+Colombia!#REF!+México!#REF!+#REF!+'Enfoque territorial'!E43+'Tenencia-derechos PI'!E41+'Financiación y sector privado'!C22+#REF!+#REF!+'Temas transversales y comunica.'!C40</f>
        <v>#REF!</v>
      </c>
      <c r="D13" s="59" t="e">
        <f>'Costa de Marfil'!C51+'Rep. de Congo'!F16+Zambia!#REF!+Indonesia!#REF!+Myanmar!#REF!+'Viet Nam'!#REF!+Colombia!#REF!+México!#REF!+#REF!+'Enfoque territorial'!C43+'Tenencia-derechos PI'!C41</f>
        <v>#REF!</v>
      </c>
      <c r="E13" s="59" t="e">
        <f>'Costa de Marfil'!D42+Zambia!D42+Indonesia!D39+Myanmar!D34+'Viet Nam'!D30+Colombia!#REF!+México!#REF!+#REF!+'Tenencia-derechos PI'!D31+#REF!+#REF!</f>
        <v>#REF!</v>
      </c>
      <c r="F13" s="59" t="e">
        <f>'Costa de Marfil'!E51+Zambia!#REF!+Indonesia!#REF!+Myanmar!#REF!+Colombia!#REF!+México!#REF!+#REF!+'Enfoque territorial'!D43+'Financiación y sector privado'!C22+'Temas transversales y comunica.'!C40</f>
        <v>#REF!</v>
      </c>
      <c r="G13" s="6"/>
    </row>
    <row r="14" spans="2:8" ht="20.149999999999999" customHeight="1" x14ac:dyDescent="0.25">
      <c r="B14" s="49" t="s">
        <v>37</v>
      </c>
      <c r="C14" s="58" t="e">
        <f>'Costa de Marfil'!F52+'Rep. de Congo'!F17+Zambia!#REF!+Indonesia!#REF!+Myanmar!#REF!+'Viet Nam'!#REF!+Colombia!#REF!+México!#REF!+#REF!+'Enfoque territorial'!E44+'Tenencia-derechos PI'!E42+#REF!+#REF!+'Temas transversales y comunica.'!C41</f>
        <v>#REF!</v>
      </c>
      <c r="D14" s="59" t="e">
        <f>'Costa de Marfil'!C52+'Rep. de Congo'!F17+Zambia!#REF!+Indonesia!#REF!+Myanmar!#REF!+'Viet Nam'!#REF!+Colombia!#REF!+México!#REF!+#REF!+'Enfoque territorial'!C44+'Tenencia-derechos PI'!C42</f>
        <v>#REF!</v>
      </c>
      <c r="E14" s="59" t="e">
        <f>'Costa de Marfil'!D43+Zambia!D43+Indonesia!D40+Myanmar!D35+'Viet Nam'!D31+Colombia!#REF!+México!#REF!+#REF!+'Tenencia-derechos PI'!D32+#REF!+#REF!</f>
        <v>#REF!</v>
      </c>
      <c r="F14" s="59" t="e">
        <f>'Costa de Marfil'!E52+Zambia!#REF!+Indonesia!#REF!+Myanmar!#REF!+Colombia!#REF!+México!#REF!+#REF!+'Enfoque territorial'!D44+'Temas transversales y comunica.'!C41</f>
        <v>#REF!</v>
      </c>
      <c r="G14" s="6"/>
    </row>
    <row r="15" spans="2:8" ht="20.149999999999999" customHeight="1" x14ac:dyDescent="0.25">
      <c r="B15" s="60" t="s">
        <v>38</v>
      </c>
      <c r="C15" s="61" t="e">
        <f>SUM(C11:C14)</f>
        <v>#REF!</v>
      </c>
      <c r="D15" s="61" t="e">
        <f>SUM(D11:D14)</f>
        <v>#REF!</v>
      </c>
      <c r="E15" s="61" t="e">
        <f>SUM(E11:E14)</f>
        <v>#REF!</v>
      </c>
      <c r="F15" s="61" t="e">
        <f>SUM(F11:F14)</f>
        <v>#REF!</v>
      </c>
      <c r="G15" s="6"/>
    </row>
    <row r="16" spans="2:8" ht="20.149999999999999" customHeight="1" x14ac:dyDescent="0.25">
      <c r="B16" s="62" t="s">
        <v>40</v>
      </c>
      <c r="C16" s="63" t="e">
        <f>C15+C8</f>
        <v>#REF!</v>
      </c>
      <c r="D16" s="63" t="e">
        <f>D15+D8</f>
        <v>#REF!</v>
      </c>
      <c r="E16" s="63" t="e">
        <f>E15+E8</f>
        <v>#REF!</v>
      </c>
      <c r="F16" s="63" t="e">
        <f>F15+F8</f>
        <v>#REF!</v>
      </c>
      <c r="G16" s="6"/>
    </row>
    <row r="17" spans="2:7" ht="20.149999999999999" customHeight="1" x14ac:dyDescent="0.25">
      <c r="B17" s="62" t="s">
        <v>41</v>
      </c>
      <c r="C17" s="63" t="e">
        <f>0.07*C16</f>
        <v>#REF!</v>
      </c>
      <c r="D17" s="63" t="e">
        <f>0.07*D16</f>
        <v>#REF!</v>
      </c>
      <c r="E17" s="63" t="e">
        <f>0.07*E16</f>
        <v>#REF!</v>
      </c>
      <c r="F17" s="63" t="e">
        <f>0.07*F16</f>
        <v>#REF!</v>
      </c>
      <c r="G17" s="6"/>
    </row>
    <row r="18" spans="2:7" ht="20.149999999999999" customHeight="1" x14ac:dyDescent="0.35">
      <c r="B18" s="64" t="s">
        <v>42</v>
      </c>
      <c r="C18" s="65" t="e">
        <f>SUM(C16:C17)</f>
        <v>#REF!</v>
      </c>
      <c r="D18" s="65" t="e">
        <f>SUM(D16:D17)</f>
        <v>#REF!</v>
      </c>
      <c r="E18" s="65" t="e">
        <f>SUM(E16:E17)</f>
        <v>#REF!</v>
      </c>
      <c r="F18" s="65" t="e">
        <f>SUM(F16:F17)</f>
        <v>#REF!</v>
      </c>
      <c r="G18" s="6"/>
    </row>
    <row r="20" spans="2:7" x14ac:dyDescent="0.35">
      <c r="E20" s="6"/>
    </row>
  </sheetData>
  <mergeCells count="3">
    <mergeCell ref="B3:F3"/>
    <mergeCell ref="B9:F9"/>
    <mergeCell ref="B2:F2"/>
  </mergeCells>
  <printOptions horizontalCentered="1"/>
  <pageMargins left="0.23622047244094491" right="0.23622047244094491" top="0.74803149606299213" bottom="0.74803149606299213" header="0.31496062992125984" footer="0.31496062992125984"/>
  <pageSetup paperSize="8" scale="74" fitToHeight="13" orientation="landscape" horizontalDpi="300" verticalDpi="300"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G33"/>
  <sheetViews>
    <sheetView showGridLines="0" zoomScaleNormal="100" workbookViewId="0">
      <selection activeCell="J26" sqref="J26"/>
    </sheetView>
  </sheetViews>
  <sheetFormatPr defaultColWidth="9.1796875" defaultRowHeight="14.5" x14ac:dyDescent="0.35"/>
  <cols>
    <col min="1" max="1" width="9.1796875" style="16"/>
    <col min="2" max="2" width="34.26953125" style="16" customWidth="1"/>
    <col min="3" max="3" width="12.54296875" style="16" customWidth="1"/>
    <col min="4" max="4" width="12.7265625" style="16" customWidth="1"/>
    <col min="5" max="5" width="12.453125" style="16" customWidth="1"/>
    <col min="6" max="6" width="13.453125" style="16" customWidth="1"/>
    <col min="7" max="7" width="14.54296875" style="16" customWidth="1"/>
    <col min="8" max="16384" width="9.1796875" style="16"/>
  </cols>
  <sheetData>
    <row r="2" spans="2:7" ht="15" thickBot="1" x14ac:dyDescent="0.4">
      <c r="B2" s="94" t="s">
        <v>55</v>
      </c>
      <c r="C2" s="95"/>
      <c r="D2" s="95"/>
      <c r="E2" s="95"/>
      <c r="F2" s="95"/>
    </row>
    <row r="3" spans="2:7" x14ac:dyDescent="0.35">
      <c r="B3" s="526" t="s">
        <v>0</v>
      </c>
      <c r="C3" s="528">
        <v>2018</v>
      </c>
      <c r="D3" s="529"/>
      <c r="E3" s="529"/>
      <c r="F3" s="530"/>
    </row>
    <row r="4" spans="2:7" x14ac:dyDescent="0.35">
      <c r="B4" s="527"/>
      <c r="C4" s="66" t="s">
        <v>2</v>
      </c>
      <c r="D4" s="66" t="s">
        <v>3</v>
      </c>
      <c r="E4" s="67" t="s">
        <v>4</v>
      </c>
      <c r="F4" s="66" t="s">
        <v>1</v>
      </c>
    </row>
    <row r="5" spans="2:7" x14ac:dyDescent="0.35">
      <c r="B5" s="68" t="s">
        <v>5</v>
      </c>
      <c r="C5" s="69" t="e">
        <f>C6+C10+C14</f>
        <v>#REF!</v>
      </c>
      <c r="D5" s="69" t="e">
        <f>D6+D10+D14</f>
        <v>#REF!</v>
      </c>
      <c r="E5" s="70" t="e">
        <f>E6+E10+E14</f>
        <v>#REF!</v>
      </c>
      <c r="F5" s="69" t="e">
        <f>F6+F10+F14</f>
        <v>#REF!</v>
      </c>
      <c r="G5" s="26"/>
    </row>
    <row r="6" spans="2:7" x14ac:dyDescent="0.35">
      <c r="B6" s="71" t="s">
        <v>6</v>
      </c>
      <c r="C6" s="72">
        <f>SUM(C7:C9)</f>
        <v>660336.17367055023</v>
      </c>
      <c r="D6" s="72">
        <f>SUM(D7:D9)</f>
        <v>402241.67</v>
      </c>
      <c r="E6" s="73">
        <f>SUM(E7:E9)</f>
        <v>189300</v>
      </c>
      <c r="F6" s="72">
        <f>SUM(F7:F9)</f>
        <v>1251877.8436705503</v>
      </c>
      <c r="G6" s="26"/>
    </row>
    <row r="7" spans="2:7" x14ac:dyDescent="0.35">
      <c r="B7" s="74" t="s">
        <v>7</v>
      </c>
      <c r="C7" s="75">
        <f>'Costa de Marfil'!$C$44</f>
        <v>202401.95069516427</v>
      </c>
      <c r="D7" s="75">
        <f>'Costa de Marfil'!$D$44</f>
        <v>374708.67</v>
      </c>
      <c r="E7" s="76">
        <f>'Costa de Marfil'!$E$44</f>
        <v>95000</v>
      </c>
      <c r="F7" s="75">
        <f>SUM(C7:E7)</f>
        <v>672110.62069516419</v>
      </c>
    </row>
    <row r="8" spans="2:7" x14ac:dyDescent="0.35">
      <c r="B8" s="74" t="s">
        <v>8</v>
      </c>
      <c r="C8" s="75">
        <f>'Rep. de Congo'!$F$20</f>
        <v>240352.22297538599</v>
      </c>
      <c r="D8" s="75"/>
      <c r="E8" s="76"/>
      <c r="F8" s="75">
        <f>SUM(C8:E8)</f>
        <v>240352.22297538599</v>
      </c>
    </row>
    <row r="9" spans="2:7" x14ac:dyDescent="0.35">
      <c r="B9" s="74" t="s">
        <v>9</v>
      </c>
      <c r="C9" s="75">
        <f>Zambia!$C$44</f>
        <v>217582</v>
      </c>
      <c r="D9" s="75">
        <f>Zambia!$D$44</f>
        <v>27533</v>
      </c>
      <c r="E9" s="76">
        <f>Zambia!$E$44</f>
        <v>94300</v>
      </c>
      <c r="F9" s="75">
        <f>SUM(C9:E9)</f>
        <v>339415</v>
      </c>
    </row>
    <row r="10" spans="2:7" x14ac:dyDescent="0.35">
      <c r="B10" s="77" t="s">
        <v>10</v>
      </c>
      <c r="C10" s="78">
        <f>SUM(C11:C13)</f>
        <v>834907.08446736203</v>
      </c>
      <c r="D10" s="78">
        <f>SUM(D11:D13)</f>
        <v>539798.65</v>
      </c>
      <c r="E10" s="79">
        <f>SUM(E11:E13)</f>
        <v>231000</v>
      </c>
      <c r="F10" s="78">
        <f>SUM(F11:F13)</f>
        <v>1605705.7344673621</v>
      </c>
    </row>
    <row r="11" spans="2:7" x14ac:dyDescent="0.35">
      <c r="B11" s="74" t="s">
        <v>11</v>
      </c>
      <c r="C11" s="75">
        <f>Indonesia!$C$41</f>
        <v>442754</v>
      </c>
      <c r="D11" s="75">
        <f>Indonesia!$D$41</f>
        <v>207110.49</v>
      </c>
      <c r="E11" s="76">
        <f>Indonesia!$E$41</f>
        <v>185000</v>
      </c>
      <c r="F11" s="75">
        <f>SUM(C11:E11)</f>
        <v>834864.49</v>
      </c>
    </row>
    <row r="12" spans="2:7" x14ac:dyDescent="0.35">
      <c r="B12" s="74" t="s">
        <v>12</v>
      </c>
      <c r="C12" s="75">
        <f>Myanmar!$C$36</f>
        <v>189751.49287153597</v>
      </c>
      <c r="D12" s="75">
        <f>Myanmar!$D$36</f>
        <v>163707.78</v>
      </c>
      <c r="E12" s="76">
        <f>Myanmar!$E$36</f>
        <v>46000</v>
      </c>
      <c r="F12" s="75">
        <f>SUM(C12:E12)</f>
        <v>399459.27287153597</v>
      </c>
    </row>
    <row r="13" spans="2:7" ht="15" x14ac:dyDescent="0.25">
      <c r="B13" s="74" t="s">
        <v>13</v>
      </c>
      <c r="C13" s="75">
        <f>'Viet Nam'!$C$32</f>
        <v>202401.59159582609</v>
      </c>
      <c r="D13" s="75">
        <f>'Viet Nam'!$D$32</f>
        <v>168980.38</v>
      </c>
      <c r="E13" s="76"/>
      <c r="F13" s="75">
        <f>SUM(C13:E13)</f>
        <v>371381.97159582609</v>
      </c>
    </row>
    <row r="14" spans="2:7" ht="15" x14ac:dyDescent="0.25">
      <c r="B14" s="77" t="s">
        <v>14</v>
      </c>
      <c r="C14" s="78" t="e">
        <f>SUM(C15:C17)</f>
        <v>#REF!</v>
      </c>
      <c r="D14" s="78" t="e">
        <f>SUM(D15:D17)</f>
        <v>#REF!</v>
      </c>
      <c r="E14" s="79" t="e">
        <f>SUM(E15:E17)</f>
        <v>#REF!</v>
      </c>
      <c r="F14" s="78" t="e">
        <f>SUM(F15:F17)</f>
        <v>#REF!</v>
      </c>
    </row>
    <row r="15" spans="2:7" ht="15" x14ac:dyDescent="0.25">
      <c r="B15" s="74" t="s">
        <v>15</v>
      </c>
      <c r="C15" s="75" t="e">
        <f>Colombia!#REF!</f>
        <v>#REF!</v>
      </c>
      <c r="D15" s="75" t="e">
        <f>Colombia!#REF!</f>
        <v>#REF!</v>
      </c>
      <c r="E15" s="76" t="e">
        <f>Colombia!#REF!</f>
        <v>#REF!</v>
      </c>
      <c r="F15" s="75" t="e">
        <f>SUM(C15:E15)</f>
        <v>#REF!</v>
      </c>
    </row>
    <row r="16" spans="2:7" ht="15" x14ac:dyDescent="0.25">
      <c r="B16" s="74" t="s">
        <v>16</v>
      </c>
      <c r="C16" s="75" t="e">
        <f>México!#REF!</f>
        <v>#REF!</v>
      </c>
      <c r="D16" s="75" t="e">
        <f>México!#REF!</f>
        <v>#REF!</v>
      </c>
      <c r="E16" s="76" t="e">
        <f>México!#REF!</f>
        <v>#REF!</v>
      </c>
      <c r="F16" s="75" t="e">
        <f>SUM(C16:E16)</f>
        <v>#REF!</v>
      </c>
    </row>
    <row r="17" spans="2:7" ht="15" x14ac:dyDescent="0.25">
      <c r="B17" s="74" t="s">
        <v>17</v>
      </c>
      <c r="C17" s="75" t="e">
        <f>#REF!</f>
        <v>#REF!</v>
      </c>
      <c r="D17" s="75" t="e">
        <f>#REF!</f>
        <v>#REF!</v>
      </c>
      <c r="E17" s="80" t="e">
        <f>#REF!</f>
        <v>#REF!</v>
      </c>
      <c r="F17" s="75" t="e">
        <f>SUM(C17:E17)</f>
        <v>#REF!</v>
      </c>
    </row>
    <row r="18" spans="2:7" ht="15" x14ac:dyDescent="0.25">
      <c r="B18" s="81" t="s">
        <v>18</v>
      </c>
      <c r="C18" s="82" t="e">
        <f>SUM(C19:C25)</f>
        <v>#REF!</v>
      </c>
      <c r="D18" s="82" t="e">
        <f>SUM(D19:D25)</f>
        <v>#REF!</v>
      </c>
      <c r="E18" s="83">
        <f>SUM(E19:E25)</f>
        <v>0</v>
      </c>
      <c r="F18" s="82" t="e">
        <f>SUM(F19:F25)</f>
        <v>#REF!</v>
      </c>
      <c r="G18" s="26"/>
    </row>
    <row r="19" spans="2:7" x14ac:dyDescent="0.35">
      <c r="B19" s="74" t="s">
        <v>19</v>
      </c>
      <c r="C19" s="84">
        <f>'Enfoque territorial'!$C$36</f>
        <v>210151.95502079604</v>
      </c>
      <c r="D19" s="84"/>
      <c r="E19" s="85">
        <f>'Enfoque territorial'!$D$45</f>
        <v>0</v>
      </c>
      <c r="F19" s="84">
        <f t="shared" ref="F19:F25" si="0">SUM(C19:E19)</f>
        <v>210151.95502079604</v>
      </c>
    </row>
    <row r="20" spans="2:7" x14ac:dyDescent="0.35">
      <c r="B20" s="74" t="s">
        <v>20</v>
      </c>
      <c r="C20" s="84"/>
      <c r="D20" s="84"/>
      <c r="E20" s="85">
        <f>'Financiación y sector privado'!$C$24</f>
        <v>0</v>
      </c>
      <c r="F20" s="84">
        <f t="shared" si="0"/>
        <v>0</v>
      </c>
    </row>
    <row r="21" spans="2:7" ht="15" x14ac:dyDescent="0.25">
      <c r="B21" s="74" t="s">
        <v>21</v>
      </c>
      <c r="C21" s="84">
        <f>'Tenencia-derechos PI'!$C$33</f>
        <v>208942.69637081883</v>
      </c>
      <c r="D21" s="84">
        <f>'Tenencia-derechos PI'!$D$33</f>
        <v>580858.94999999995</v>
      </c>
      <c r="E21" s="85"/>
      <c r="F21" s="84">
        <f t="shared" si="0"/>
        <v>789801.64637081884</v>
      </c>
    </row>
    <row r="22" spans="2:7" x14ac:dyDescent="0.35">
      <c r="B22" s="74" t="s">
        <v>22</v>
      </c>
      <c r="C22" s="84">
        <f>NFMS!F16</f>
        <v>323202.97155208181</v>
      </c>
      <c r="D22" s="84"/>
      <c r="E22" s="85"/>
      <c r="F22" s="84">
        <f t="shared" si="0"/>
        <v>323202.97155208181</v>
      </c>
    </row>
    <row r="23" spans="2:7" x14ac:dyDescent="0.35">
      <c r="B23" s="74" t="s">
        <v>23</v>
      </c>
      <c r="C23" s="84" t="e">
        <f>#REF!</f>
        <v>#REF!</v>
      </c>
      <c r="D23" s="84" t="e">
        <f>#REF!</f>
        <v>#REF!</v>
      </c>
      <c r="E23" s="85"/>
      <c r="F23" s="84" t="e">
        <f t="shared" si="0"/>
        <v>#REF!</v>
      </c>
    </row>
    <row r="24" spans="2:7" ht="15" x14ac:dyDescent="0.25">
      <c r="B24" s="74" t="s">
        <v>24</v>
      </c>
      <c r="C24" s="84"/>
      <c r="D24" s="84" t="e">
        <f>#REF!</f>
        <v>#REF!</v>
      </c>
      <c r="E24" s="85"/>
      <c r="F24" s="84" t="e">
        <f t="shared" si="0"/>
        <v>#REF!</v>
      </c>
    </row>
    <row r="25" spans="2:7" x14ac:dyDescent="0.35">
      <c r="B25" s="74" t="s">
        <v>25</v>
      </c>
      <c r="C25" s="84"/>
      <c r="D25" s="84"/>
      <c r="E25" s="85">
        <f>'Temas transversales y comunica.'!$C$33</f>
        <v>0</v>
      </c>
      <c r="F25" s="84">
        <f t="shared" si="0"/>
        <v>0</v>
      </c>
    </row>
    <row r="26" spans="2:7" x14ac:dyDescent="0.35">
      <c r="B26" s="77" t="s">
        <v>26</v>
      </c>
      <c r="C26" s="86" t="e">
        <f>C18+C14+C10+C6</f>
        <v>#REF!</v>
      </c>
      <c r="D26" s="86" t="e">
        <f>D18+D14+D10+D6</f>
        <v>#REF!</v>
      </c>
      <c r="E26" s="87" t="e">
        <f>E18+E14+E10+E6</f>
        <v>#REF!</v>
      </c>
      <c r="F26" s="86" t="e">
        <f>F18+F14+F10+F6</f>
        <v>#REF!</v>
      </c>
      <c r="G26" s="26"/>
    </row>
    <row r="27" spans="2:7" x14ac:dyDescent="0.35">
      <c r="B27" s="88" t="s">
        <v>27</v>
      </c>
      <c r="C27" s="89" t="e">
        <f>C26*0.07</f>
        <v>#REF!</v>
      </c>
      <c r="D27" s="89" t="e">
        <f>D26*0.07</f>
        <v>#REF!</v>
      </c>
      <c r="E27" s="90" t="e">
        <f>E26*0.07</f>
        <v>#REF!</v>
      </c>
      <c r="F27" s="89" t="e">
        <f>F26*0.07</f>
        <v>#REF!</v>
      </c>
    </row>
    <row r="28" spans="2:7" x14ac:dyDescent="0.35">
      <c r="B28" s="91" t="s">
        <v>28</v>
      </c>
      <c r="C28" s="92" t="e">
        <f>SUM(C26:C27)</f>
        <v>#REF!</v>
      </c>
      <c r="D28" s="92" t="e">
        <f>SUM(D26:D27)</f>
        <v>#REF!</v>
      </c>
      <c r="E28" s="93" t="e">
        <f>SUM(E26:E27)</f>
        <v>#REF!</v>
      </c>
      <c r="F28" s="92" t="e">
        <f>SUM(F26:F27)</f>
        <v>#REF!</v>
      </c>
    </row>
    <row r="29" spans="2:7" x14ac:dyDescent="0.35">
      <c r="C29" s="32"/>
    </row>
    <row r="30" spans="2:7" x14ac:dyDescent="0.35">
      <c r="C30" s="26"/>
      <c r="D30" s="34"/>
      <c r="E30" s="34"/>
      <c r="F30" s="34"/>
    </row>
    <row r="31" spans="2:7" x14ac:dyDescent="0.35">
      <c r="C31" s="26"/>
    </row>
    <row r="33" spans="4:4" x14ac:dyDescent="0.35">
      <c r="D33" s="26"/>
    </row>
  </sheetData>
  <mergeCells count="2">
    <mergeCell ref="B3:B4"/>
    <mergeCell ref="C3:F3"/>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7"/>
  <sheetViews>
    <sheetView topLeftCell="A13" zoomScaleNormal="100" workbookViewId="0">
      <selection activeCell="B2" sqref="B2:F2"/>
    </sheetView>
  </sheetViews>
  <sheetFormatPr defaultColWidth="23.7265625" defaultRowHeight="12" x14ac:dyDescent="0.3"/>
  <cols>
    <col min="1" max="1" width="2.7265625" style="14" customWidth="1"/>
    <col min="2" max="2" width="48.453125" style="446" customWidth="1"/>
    <col min="3" max="3" width="11.26953125" style="14" customWidth="1"/>
    <col min="4" max="4" width="11.54296875" style="14" customWidth="1"/>
    <col min="5" max="5" width="11.1796875" style="14" customWidth="1"/>
    <col min="6" max="6" width="12.81640625" style="14" customWidth="1"/>
    <col min="7" max="16384" width="23.7265625" style="14"/>
  </cols>
  <sheetData>
    <row r="2" spans="2:10" ht="24.75" customHeight="1" x14ac:dyDescent="0.3">
      <c r="B2" s="534" t="s">
        <v>63</v>
      </c>
      <c r="C2" s="534"/>
      <c r="D2" s="534"/>
      <c r="E2" s="534"/>
      <c r="F2" s="534"/>
    </row>
    <row r="3" spans="2:10" ht="33" customHeight="1" x14ac:dyDescent="0.3">
      <c r="B3" s="531" t="s">
        <v>253</v>
      </c>
      <c r="C3" s="532"/>
      <c r="D3" s="532"/>
      <c r="E3" s="532"/>
      <c r="F3" s="533"/>
    </row>
    <row r="4" spans="2:10" ht="20.149999999999999" customHeight="1" x14ac:dyDescent="0.3">
      <c r="B4" s="262" t="s">
        <v>64</v>
      </c>
      <c r="C4" s="217" t="s">
        <v>60</v>
      </c>
      <c r="D4" s="218" t="s">
        <v>2</v>
      </c>
      <c r="E4" s="237" t="s">
        <v>65</v>
      </c>
      <c r="F4" s="218" t="s">
        <v>66</v>
      </c>
      <c r="G4" s="435"/>
      <c r="H4" s="436"/>
    </row>
    <row r="5" spans="2:10" ht="20.149999999999999" customHeight="1" x14ac:dyDescent="0.3">
      <c r="B5" s="261" t="s">
        <v>67</v>
      </c>
      <c r="C5" s="263">
        <f>D5+E5+F5</f>
        <v>1950351.2903385416</v>
      </c>
      <c r="D5" s="437">
        <f>'Costa de Marfil'!D60+'Rep. de Congo'!D38+Zambia!D52+Indonesia!D50+Myanmar!D44+'Viet Nam'!D40+Colombia!D61+México!D50+Perú!D59+'Enfoque territorial'!D53+'Financiación y sector privado'!D31+'Tenencia-derechos PI'!D49+NFMS!D33+'Acuerdo de París y ODS'!D52+'Mecanismo de financ. REDD+ '!D35+'Temas transversales y comunica.'!D50</f>
        <v>1450351.2903385416</v>
      </c>
      <c r="E5" s="437">
        <f>'Costa de Marfil'!E60+'Rep. de Congo'!E38+Zambia!E52+Indonesia!E50+Myanmar!E44+'Viet Nam'!E40+Colombia!E61+México!E50+Perú!E59+'Enfoque territorial'!E53+'Financiación y sector privado'!E31+'Tenencia-derechos PI'!E49+NFMS!E33+'Acuerdo de París y ODS'!E52+'Mecanismo de financ. REDD+ '!E35+'Temas transversales y comunica.'!E50</f>
        <v>0</v>
      </c>
      <c r="F5" s="437">
        <f>'Costa de Marfil'!F60+'Rep. de Congo'!F38+Zambia!F52+Indonesia!F50+Myanmar!F44+'Viet Nam'!F40+Colombia!F61+México!F50+Perú!F59+'Enfoque territorial'!F53+'Financiación y sector privado'!F31+'Tenencia-derechos PI'!F49+NFMS!F33+'Acuerdo de París y ODS'!F52+'Mecanismo de financ. REDD+ '!F35+'Temas transversales y comunica.'!F50</f>
        <v>500000</v>
      </c>
      <c r="G5" s="435"/>
      <c r="H5" s="436"/>
    </row>
    <row r="6" spans="2:10" ht="20.149999999999999" customHeight="1" x14ac:dyDescent="0.2">
      <c r="B6" s="261" t="s">
        <v>68</v>
      </c>
      <c r="C6" s="263">
        <f t="shared" ref="C6:C11" si="0">D6+E6+F6</f>
        <v>0</v>
      </c>
      <c r="D6" s="437">
        <f>'Costa de Marfil'!D61+'Rep. de Congo'!D39+Zambia!D53+Indonesia!D51+Myanmar!D45+'Viet Nam'!D41+Colombia!D62+México!D51+Perú!D60+'Enfoque territorial'!D54+'Financiación y sector privado'!D32+'Tenencia-derechos PI'!D50+NFMS!D34+'Acuerdo de París y ODS'!D53+'Mecanismo de financ. REDD+ '!D36+'Temas transversales y comunica.'!D51</f>
        <v>0</v>
      </c>
      <c r="E6" s="437">
        <f>'Costa de Marfil'!E61+'Rep. de Congo'!E39+Zambia!E53+Indonesia!E51+Myanmar!E45+'Viet Nam'!E41+Colombia!E62+México!E51+Perú!E60+'Enfoque territorial'!E54+'Financiación y sector privado'!E32+'Tenencia-derechos PI'!E50+NFMS!E34+'Acuerdo de París y ODS'!E53+'Mecanismo de financ. REDD+ '!E36+'Temas transversales y comunica.'!E51</f>
        <v>0</v>
      </c>
      <c r="F6" s="437">
        <f>'Costa de Marfil'!F61+'Rep. de Congo'!F39+Zambia!F53+Indonesia!F51+Myanmar!F45+'Viet Nam'!F41+Colombia!F62+México!F51+Perú!F60+'Enfoque territorial'!F54+'Financiación y sector privado'!F32+'Tenencia-derechos PI'!F50+NFMS!F34+'Acuerdo de París y ODS'!F53+'Mecanismo de financ. REDD+ '!F36+'Temas transversales y comunica.'!F51</f>
        <v>0</v>
      </c>
      <c r="G6" s="435"/>
    </row>
    <row r="7" spans="2:10" ht="20.149999999999999" customHeight="1" x14ac:dyDescent="0.3">
      <c r="B7" s="500" t="s">
        <v>69</v>
      </c>
      <c r="C7" s="263">
        <f t="shared" si="0"/>
        <v>0</v>
      </c>
      <c r="D7" s="437">
        <f>'Costa de Marfil'!D62+'Rep. de Congo'!D40+Zambia!D54+Indonesia!D52+Myanmar!D46+'Viet Nam'!D42+Colombia!D63+México!D52+Perú!D61+'Enfoque territorial'!D55+'Financiación y sector privado'!D33+'Tenencia-derechos PI'!D51+NFMS!D35+'Acuerdo de París y ODS'!D54+'Mecanismo de financ. REDD+ '!D37+'Temas transversales y comunica.'!D52</f>
        <v>0</v>
      </c>
      <c r="E7" s="437">
        <f>'Costa de Marfil'!E62+'Rep. de Congo'!E40+Zambia!E54+Indonesia!E52+Myanmar!E46+'Viet Nam'!E42+Colombia!E63+México!E52+Perú!E61+'Enfoque territorial'!E55+'Financiación y sector privado'!E33+'Tenencia-derechos PI'!E51+NFMS!E35+'Acuerdo de París y ODS'!E54+'Mecanismo de financ. REDD+ '!E37+'Temas transversales y comunica.'!E52</f>
        <v>0</v>
      </c>
      <c r="F7" s="437">
        <f>'Costa de Marfil'!F62+'Rep. de Congo'!F40+Zambia!F54+Indonesia!F52+Myanmar!F46+'Viet Nam'!F42+Colombia!F63+México!F52+Perú!F61+'Enfoque territorial'!F55+'Financiación y sector privado'!F33+'Tenencia-derechos PI'!F51+NFMS!F35+'Acuerdo de París y ODS'!F54+'Mecanismo de financ. REDD+ '!F37+'Temas transversales y comunica.'!F52</f>
        <v>0</v>
      </c>
      <c r="G7" s="435"/>
      <c r="H7" s="436"/>
    </row>
    <row r="8" spans="2:10" ht="20.149999999999999" customHeight="1" x14ac:dyDescent="0.2">
      <c r="B8" s="261" t="s">
        <v>70</v>
      </c>
      <c r="C8" s="263">
        <f t="shared" si="0"/>
        <v>0</v>
      </c>
      <c r="D8" s="437">
        <f>'Costa de Marfil'!D63+'Rep. de Congo'!D41+Zambia!D55+Indonesia!D53+Myanmar!D47+'Viet Nam'!D43+Colombia!D64+México!D53+Perú!D62+'Enfoque territorial'!D56+'Financiación y sector privado'!D34+'Tenencia-derechos PI'!D52+NFMS!D36+'Acuerdo de París y ODS'!D55+'Mecanismo de financ. REDD+ '!D38+'Temas transversales y comunica.'!D53</f>
        <v>0</v>
      </c>
      <c r="E8" s="437">
        <f>'Costa de Marfil'!E63+'Rep. de Congo'!E41+Zambia!E55+Indonesia!E53+Myanmar!E47+'Viet Nam'!E43+Colombia!E64+México!E53+Perú!E62+'Enfoque territorial'!E56+'Financiación y sector privado'!E34+'Tenencia-derechos PI'!E52+NFMS!E36+'Acuerdo de París y ODS'!E55+'Mecanismo de financ. REDD+ '!E38+'Temas transversales y comunica.'!E53</f>
        <v>0</v>
      </c>
      <c r="F8" s="437">
        <f>'Costa de Marfil'!F63+'Rep. de Congo'!F41+Zambia!F55+Indonesia!F53+Myanmar!F47+'Viet Nam'!F43+Colombia!F64+México!F53+Perú!F62+'Enfoque territorial'!F56+'Financiación y sector privado'!F34+'Tenencia-derechos PI'!F52+NFMS!F36+'Acuerdo de París y ODS'!F55+'Mecanismo de financ. REDD+ '!F38+'Temas transversales y comunica.'!F53</f>
        <v>0</v>
      </c>
      <c r="G8" s="435"/>
      <c r="H8" s="436"/>
    </row>
    <row r="9" spans="2:10" ht="20.149999999999999" customHeight="1" x14ac:dyDescent="0.3">
      <c r="B9" s="261" t="s">
        <v>71</v>
      </c>
      <c r="C9" s="263">
        <f t="shared" si="0"/>
        <v>273851.08124643168</v>
      </c>
      <c r="D9" s="437">
        <f>'Costa de Marfil'!D64+'Rep. de Congo'!D42+Zambia!D56+Indonesia!D54+Myanmar!D48+'Viet Nam'!D44+Colombia!D65+México!D54+Perú!D63+'Enfoque territorial'!D57+'Financiación y sector privado'!D35+'Tenencia-derechos PI'!D53+NFMS!D37+'Acuerdo de París y ODS'!D56+'Mecanismo de financ. REDD+ '!D39+'Temas transversales y comunica.'!D54</f>
        <v>156851.08124643168</v>
      </c>
      <c r="E9" s="437">
        <f>'Costa de Marfil'!E64+'Rep. de Congo'!E42+Zambia!E56+Indonesia!E54+Myanmar!E48+'Viet Nam'!E44+Colombia!E65+México!E54+Perú!E63+'Enfoque territorial'!E57+'Financiación y sector privado'!E35+'Tenencia-derechos PI'!E53+NFMS!E37+'Acuerdo de París y ODS'!E56+'Mecanismo de financ. REDD+ '!E39+'Temas transversales y comunica.'!E54</f>
        <v>0</v>
      </c>
      <c r="F9" s="437">
        <f>'Costa de Marfil'!F64+'Rep. de Congo'!F42+Zambia!F56+Indonesia!F54+Myanmar!F48+'Viet Nam'!F44+Colombia!F65+México!F54+Perú!F63+'Enfoque territorial'!F57+'Financiación y sector privado'!F35+'Tenencia-derechos PI'!F53+NFMS!F37+'Acuerdo de París y ODS'!F56+'Mecanismo de financ. REDD+ '!F39+'Temas transversales y comunica.'!F54</f>
        <v>117000</v>
      </c>
      <c r="G9" s="435"/>
      <c r="H9" s="436"/>
    </row>
    <row r="10" spans="2:10" ht="20.149999999999999" customHeight="1" x14ac:dyDescent="0.2">
      <c r="B10" s="264" t="s">
        <v>72</v>
      </c>
      <c r="C10" s="263">
        <f t="shared" si="0"/>
        <v>0</v>
      </c>
      <c r="D10" s="437">
        <f>'Costa de Marfil'!D65+'Rep. de Congo'!D43+Zambia!D57+Indonesia!D55+Myanmar!D49+'Viet Nam'!D45+Colombia!D66+México!D55+Perú!D64+'Enfoque territorial'!D58+'Financiación y sector privado'!D36+'Tenencia-derechos PI'!D54+NFMS!D38+'Acuerdo de París y ODS'!D57+'Mecanismo de financ. REDD+ '!D40+'Temas transversales y comunica.'!D55</f>
        <v>0</v>
      </c>
      <c r="E10" s="437">
        <f>'Costa de Marfil'!E65+'Rep. de Congo'!E43+Zambia!E57+Indonesia!E55+Myanmar!E49+'Viet Nam'!E45+Colombia!E66+México!E55+Perú!E64+'Enfoque territorial'!E58+'Financiación y sector privado'!E36+'Tenencia-derechos PI'!E54+NFMS!E38+'Acuerdo de París y ODS'!E57+'Mecanismo de financ. REDD+ '!E40+'Temas transversales y comunica.'!E55</f>
        <v>0</v>
      </c>
      <c r="F10" s="437">
        <f>'Costa de Marfil'!F65+'Rep. de Congo'!F43+Zambia!F57+Indonesia!F55+Myanmar!F49+'Viet Nam'!F45+Colombia!F66+México!F55+Perú!F64+'Enfoque territorial'!F58+'Financiación y sector privado'!F36+'Tenencia-derechos PI'!F54+NFMS!F38+'Acuerdo de París y ODS'!F57+'Mecanismo de financ. REDD+ '!F40+'Temas transversales y comunica.'!F55</f>
        <v>0</v>
      </c>
      <c r="G10" s="435"/>
      <c r="H10" s="435"/>
      <c r="I10" s="435"/>
      <c r="J10" s="435"/>
    </row>
    <row r="11" spans="2:10" ht="20.149999999999999" customHeight="1" x14ac:dyDescent="0.2">
      <c r="B11" s="264" t="s">
        <v>73</v>
      </c>
      <c r="C11" s="263">
        <f t="shared" si="0"/>
        <v>149204.5701955629</v>
      </c>
      <c r="D11" s="437">
        <f>'Costa de Marfil'!D66+'Rep. de Congo'!D44+Zambia!D58+Indonesia!D56+Myanmar!D50+'Viet Nam'!D46+Colombia!D67+México!D56+Perú!D65+'Enfoque territorial'!D59+'Financiación y sector privado'!D37+'Tenencia-derechos PI'!D55+NFMS!D39+'Acuerdo de París y ODS'!D58+'Mecanismo de financ. REDD+ '!D41+'Temas transversales y comunica.'!D56</f>
        <v>99204.570195562905</v>
      </c>
      <c r="E11" s="437">
        <f>'Costa de Marfil'!E66+'Rep. de Congo'!E44+Zambia!E58+Indonesia!E56+Myanmar!E50+'Viet Nam'!E46+Colombia!E67+México!E56+Perú!E65+'Enfoque territorial'!E59+'Financiación y sector privado'!E37+'Tenencia-derechos PI'!E55+NFMS!E39+'Acuerdo de París y ODS'!E58+'Mecanismo de financ. REDD+ '!E41+'Temas transversales y comunica.'!E56</f>
        <v>0</v>
      </c>
      <c r="F11" s="437">
        <f>'Costa de Marfil'!F66+'Rep. de Congo'!F44+Zambia!F58+Indonesia!F56+Myanmar!F50+'Viet Nam'!F46+Colombia!F67+México!F56+Perú!F65+'Enfoque territorial'!F59+'Financiación y sector privado'!F37+'Tenencia-derechos PI'!F55+NFMS!F39+'Acuerdo de París y ODS'!F58+'Mecanismo de financ. REDD+ '!F41+'Temas transversales y comunica.'!F56</f>
        <v>50000</v>
      </c>
      <c r="G11" s="435"/>
      <c r="H11" s="435"/>
      <c r="I11" s="435"/>
      <c r="J11" s="435"/>
    </row>
    <row r="12" spans="2:10" ht="20.149999999999999" customHeight="1" x14ac:dyDescent="0.2">
      <c r="B12" s="265" t="s">
        <v>183</v>
      </c>
      <c r="C12" s="266">
        <f>SUM(C5:C11)</f>
        <v>2373406.9417805364</v>
      </c>
      <c r="D12" s="266">
        <f>SUM(D5:D11)</f>
        <v>1706406.9417805362</v>
      </c>
      <c r="E12" s="266">
        <f>SUM(E5:E11)</f>
        <v>0</v>
      </c>
      <c r="F12" s="266">
        <f>SUM(F5:F11)</f>
        <v>667000</v>
      </c>
      <c r="G12" s="435"/>
      <c r="H12" s="435"/>
      <c r="I12" s="435"/>
      <c r="J12" s="435"/>
    </row>
    <row r="13" spans="2:10" ht="28.5" customHeight="1" x14ac:dyDescent="0.3">
      <c r="B13" s="531" t="s">
        <v>74</v>
      </c>
      <c r="C13" s="532"/>
      <c r="D13" s="532"/>
      <c r="E13" s="532"/>
      <c r="F13" s="533"/>
      <c r="G13" s="435"/>
      <c r="H13" s="435"/>
      <c r="I13" s="435"/>
      <c r="J13" s="435"/>
    </row>
    <row r="14" spans="2:10" ht="20.149999999999999" customHeight="1" x14ac:dyDescent="0.3">
      <c r="B14" s="262" t="s">
        <v>64</v>
      </c>
      <c r="C14" s="217" t="s">
        <v>60</v>
      </c>
      <c r="D14" s="218" t="s">
        <v>2</v>
      </c>
      <c r="E14" s="237" t="s">
        <v>65</v>
      </c>
      <c r="F14" s="218" t="s">
        <v>66</v>
      </c>
      <c r="G14" s="435"/>
      <c r="H14" s="435"/>
      <c r="I14" s="435"/>
      <c r="J14" s="435"/>
    </row>
    <row r="15" spans="2:10" ht="20.149999999999999" customHeight="1" x14ac:dyDescent="0.2">
      <c r="B15" s="261" t="s">
        <v>67</v>
      </c>
      <c r="C15" s="438">
        <f t="shared" ref="C15:C20" si="1">F15+E15+D15</f>
        <v>5600250.7865650831</v>
      </c>
      <c r="D15" s="439">
        <f>'Costa de Marfil'!D71+'Rep. de Congo'!D49+Zambia!D63+Indonesia!D61+Myanmar!D55+'Viet Nam'!D51+Colombia!D72+México!D61+Perú!D70+'Enfoque territorial'!D64+'Financiación y sector privado'!D42+'Tenencia-derechos PI'!D60+NFMS!D44+'Acuerdo de París y ODS'!D63+'Mecanismo de financ. REDD+ '!D46+'Temas transversales y comunica.'!D61</f>
        <v>922287.68156508252</v>
      </c>
      <c r="E15" s="439">
        <f>'Costa de Marfil'!E71+'Rep. de Congo'!E49+Zambia!E63+Indonesia!E61+Myanmar!E55+'Viet Nam'!E51+Colombia!E72+México!E61+Perú!E70+'Enfoque territorial'!E64+'Financiación y sector privado'!E42+'Tenencia-derechos PI'!E60+NFMS!E44+'Acuerdo de París y ODS'!E63+'Mecanismo de financ. REDD+ '!E46+'Temas transversales y comunica.'!E61</f>
        <v>3287801.2050000001</v>
      </c>
      <c r="F15" s="439">
        <f>'Costa de Marfil'!F71+'Rep. de Congo'!F49+Zambia!F63+Indonesia!F61+Myanmar!F55+'Viet Nam'!F51+Colombia!F72+México!F61+Perú!F70+'Enfoque territorial'!F64+'Financiación y sector privado'!F42+'Tenencia-derechos PI'!F60+NFMS!F44+'Acuerdo de París y ODS'!F63+'Mecanismo de financ. REDD+ '!F46+'Temas transversales y comunica.'!F61</f>
        <v>1390161.9</v>
      </c>
      <c r="G15" s="435"/>
      <c r="H15" s="435"/>
      <c r="I15" s="435"/>
      <c r="J15" s="435"/>
    </row>
    <row r="16" spans="2:10" ht="20.149999999999999" customHeight="1" x14ac:dyDescent="0.2">
      <c r="B16" s="261" t="s">
        <v>68</v>
      </c>
      <c r="C16" s="438">
        <f t="shared" si="1"/>
        <v>0</v>
      </c>
      <c r="D16" s="439">
        <f>'Costa de Marfil'!D72+'Rep. de Congo'!D50+Zambia!D64+Indonesia!D62+Myanmar!D56+'Viet Nam'!D52+Colombia!D73+México!D62+Perú!D71+'Enfoque territorial'!D65+'Financiación y sector privado'!D43+'Tenencia-derechos PI'!D61+NFMS!D45+'Acuerdo de París y ODS'!D64+'Mecanismo de financ. REDD+ '!D47+'Temas transversales y comunica.'!D62</f>
        <v>0</v>
      </c>
      <c r="E16" s="439">
        <f>'Costa de Marfil'!E72+'Rep. de Congo'!E50+Zambia!E64+Indonesia!E62+Myanmar!E56+'Viet Nam'!E52+Colombia!E73+México!E62+Perú!E71+'Enfoque territorial'!E65+'Financiación y sector privado'!E43+'Tenencia-derechos PI'!E61+NFMS!E45+'Acuerdo de París y ODS'!E64+'Mecanismo de financ. REDD+ '!E47+'Temas transversales y comunica.'!E62</f>
        <v>0</v>
      </c>
      <c r="F16" s="439">
        <f>'Costa de Marfil'!F72+'Rep. de Congo'!F50+Zambia!F64+Indonesia!F62+Myanmar!F56+'Viet Nam'!F52+Colombia!F73+México!F62+Perú!F71+'Enfoque territorial'!F65+'Financiación y sector privado'!F43+'Tenencia-derechos PI'!F61+NFMS!F45+'Acuerdo de París y ODS'!F64+'Mecanismo de financ. REDD+ '!F47+'Temas transversales y comunica.'!F62</f>
        <v>0</v>
      </c>
      <c r="G16" s="435"/>
      <c r="H16" s="435"/>
      <c r="I16" s="435"/>
      <c r="J16" s="435"/>
    </row>
    <row r="17" spans="2:10" ht="20.149999999999999" customHeight="1" x14ac:dyDescent="0.3">
      <c r="B17" s="264" t="s">
        <v>69</v>
      </c>
      <c r="C17" s="438">
        <f t="shared" si="1"/>
        <v>0</v>
      </c>
      <c r="D17" s="439">
        <f>'Costa de Marfil'!D73+'Rep. de Congo'!D51+Zambia!D65+Indonesia!D63+Myanmar!D57+'Viet Nam'!D53+Colombia!D74+México!D63+Perú!D72+'Enfoque territorial'!D66+'Financiación y sector privado'!D44+'Tenencia-derechos PI'!D62+NFMS!D46+'Acuerdo de París y ODS'!D65+'Mecanismo de financ. REDD+ '!D48+'Temas transversales y comunica.'!D63</f>
        <v>0</v>
      </c>
      <c r="E17" s="439">
        <f>'Costa de Marfil'!E73+'Rep. de Congo'!E51+Zambia!E65+Indonesia!E63+Myanmar!E57+'Viet Nam'!E53+Colombia!E74+México!E63+Perú!E72+'Enfoque territorial'!E66+'Financiación y sector privado'!E44+'Tenencia-derechos PI'!E62+NFMS!E46+'Acuerdo de París y ODS'!E65+'Mecanismo de financ. REDD+ '!E48+'Temas transversales y comunica.'!E63</f>
        <v>0</v>
      </c>
      <c r="F17" s="439">
        <f>'Costa de Marfil'!F73+'Rep. de Congo'!F51+Zambia!F65+Indonesia!F63+Myanmar!F57+'Viet Nam'!F53+Colombia!F74+México!F63+Perú!F72+'Enfoque territorial'!F66+'Financiación y sector privado'!F44+'Tenencia-derechos PI'!F62+NFMS!F46+'Acuerdo de París y ODS'!F65+'Mecanismo de financ. REDD+ '!F48+'Temas transversales y comunica.'!F63</f>
        <v>0</v>
      </c>
      <c r="G17" s="435"/>
      <c r="H17" s="435"/>
      <c r="I17" s="435"/>
      <c r="J17" s="435"/>
    </row>
    <row r="18" spans="2:10" ht="20.149999999999999" customHeight="1" x14ac:dyDescent="0.3">
      <c r="B18" s="261" t="s">
        <v>70</v>
      </c>
      <c r="C18" s="438">
        <f t="shared" si="1"/>
        <v>30000</v>
      </c>
      <c r="D18" s="439">
        <f>'Costa de Marfil'!D74+'Rep. de Congo'!D52+Zambia!D66+Indonesia!D64+Myanmar!D58+'Viet Nam'!D54+Colombia!D75+México!D64+Perú!D73+'Enfoque territorial'!D67+'Financiación y sector privado'!D45+'Tenencia-derechos PI'!D63+NFMS!D47+'Acuerdo de París y ODS'!D66+'Mecanismo de financ. REDD+ '!D49+'Temas transversales y comunica.'!D64</f>
        <v>0</v>
      </c>
      <c r="E18" s="439">
        <f>'Costa de Marfil'!E74+'Rep. de Congo'!E52+Zambia!E66+Indonesia!E64+Myanmar!E58+'Viet Nam'!E54+Colombia!E75+México!E64+Perú!E73+'Enfoque territorial'!E67+'Financiación y sector privado'!E45+'Tenencia-derechos PI'!E63+NFMS!E47+'Acuerdo de París y ODS'!E66+'Mecanismo de financ. REDD+ '!E49+'Temas transversales y comunica.'!E64</f>
        <v>0</v>
      </c>
      <c r="F18" s="439">
        <f>'Costa de Marfil'!F74+'Rep. de Congo'!F52+Zambia!F66+Indonesia!F64+Myanmar!F58+'Viet Nam'!F54+Colombia!F75+México!F64+Perú!F73+'Enfoque territorial'!F67+'Financiación y sector privado'!F45+'Tenencia-derechos PI'!F63+NFMS!F47+'Acuerdo de París y ODS'!F66+'Mecanismo de financ. REDD+ '!F49+'Temas transversales y comunica.'!F64</f>
        <v>30000</v>
      </c>
      <c r="G18" s="435"/>
      <c r="H18" s="435"/>
      <c r="I18" s="435"/>
      <c r="J18" s="435"/>
    </row>
    <row r="19" spans="2:10" ht="20.149999999999999" customHeight="1" x14ac:dyDescent="0.3">
      <c r="B19" s="261" t="s">
        <v>71</v>
      </c>
      <c r="C19" s="438">
        <f t="shared" si="1"/>
        <v>825140.33759410516</v>
      </c>
      <c r="D19" s="439">
        <f>'Costa de Marfil'!D75+'Rep. de Congo'!D53+Zambia!D67+Indonesia!D65+Myanmar!D59+'Viet Nam'!D55+Colombia!D76+México!D65+Perú!D74+'Enfoque territorial'!D68+'Financiación y sector privado'!D46+'Tenencia-derechos PI'!D64+NFMS!D48+'Acuerdo de París y ODS'!D67+'Mecanismo de financ. REDD+ '!D50+'Temas transversales y comunica.'!D65</f>
        <v>125378.03759410507</v>
      </c>
      <c r="E19" s="439">
        <f>'Costa de Marfil'!E75+'Rep. de Congo'!E53+Zambia!E67+Indonesia!E65+Myanmar!E59+'Viet Nam'!E55+Colombia!E76+México!E65+Perú!E74+'Enfoque territorial'!E68+'Financiación y sector privado'!E46+'Tenencia-derechos PI'!E64+NFMS!E48+'Acuerdo de París y ODS'!E67+'Mecanismo de financ. REDD+ '!E50+'Temas transversales y comunica.'!E65</f>
        <v>454000</v>
      </c>
      <c r="F19" s="439">
        <f>'Costa de Marfil'!F75+'Rep. de Congo'!F53+Zambia!F67+Indonesia!F65+Myanmar!F59+'Viet Nam'!F55+Colombia!F76+México!F65+Perú!F74+'Enfoque territorial'!F68+'Financiación y sector privado'!F46+'Tenencia-derechos PI'!F64+NFMS!F48+'Acuerdo de París y ODS'!F67+'Mecanismo de financ. REDD+ '!F50+'Temas transversales y comunica.'!F65</f>
        <v>245762.3</v>
      </c>
      <c r="G19" s="435"/>
      <c r="H19" s="435"/>
      <c r="I19" s="435"/>
      <c r="J19" s="435"/>
    </row>
    <row r="20" spans="2:10" ht="20.149999999999999" customHeight="1" x14ac:dyDescent="0.3">
      <c r="B20" s="264" t="s">
        <v>72</v>
      </c>
      <c r="C20" s="438">
        <f t="shared" si="1"/>
        <v>0</v>
      </c>
      <c r="D20" s="439">
        <f>'Costa de Marfil'!D76+'Rep. de Congo'!D54+Zambia!D68+Indonesia!D66+Myanmar!D60+'Viet Nam'!D56+Colombia!D77+México!D66+Perú!D75+'Enfoque territorial'!D69+'Financiación y sector privado'!D47+'Tenencia-derechos PI'!D65+NFMS!D49+'Acuerdo de París y ODS'!D68+'Mecanismo de financ. REDD+ '!D51+'Temas transversales y comunica.'!D66</f>
        <v>0</v>
      </c>
      <c r="E20" s="439">
        <f>'Costa de Marfil'!E76+'Rep. de Congo'!E54+Zambia!E68+Indonesia!E66+Myanmar!E60+'Viet Nam'!E56+Colombia!E77+México!E66+Perú!E75+'Enfoque territorial'!E69+'Financiación y sector privado'!E47+'Tenencia-derechos PI'!E65+NFMS!E49+'Acuerdo de París y ODS'!E68+'Mecanismo de financ. REDD+ '!E51+'Temas transversales y comunica.'!E66</f>
        <v>0</v>
      </c>
      <c r="F20" s="439">
        <f>'Costa de Marfil'!F76+'Rep. de Congo'!F54+Zambia!F68+Indonesia!F66+Myanmar!F60+'Viet Nam'!F56+Colombia!F77+México!F66+Perú!F75+'Enfoque territorial'!F69+'Financiación y sector privado'!F47+'Tenencia-derechos PI'!F65+NFMS!F49+'Acuerdo de París y ODS'!F68+'Mecanismo de financ. REDD+ '!F51+'Temas transversales y comunica.'!F66</f>
        <v>0</v>
      </c>
      <c r="G20" s="435"/>
      <c r="H20" s="435"/>
      <c r="I20" s="435"/>
      <c r="J20" s="435"/>
    </row>
    <row r="21" spans="2:10" ht="20.149999999999999" customHeight="1" x14ac:dyDescent="0.3">
      <c r="B21" s="264" t="s">
        <v>73</v>
      </c>
      <c r="C21" s="438">
        <f>D21+E21+F21</f>
        <v>658601.49158772873</v>
      </c>
      <c r="D21" s="439">
        <f>'Costa de Marfil'!D77+'Rep. de Congo'!D55+Zambia!D69+Indonesia!D67+Myanmar!D61+'Viet Nam'!D57+Colombia!D78+México!D67+Perú!D76+'Enfoque territorial'!D70+'Financiación y sector privado'!D48+'Tenencia-derechos PI'!D66+NFMS!D50+'Acuerdo de París y ODS'!D69+'Mecanismo de financ. REDD+ '!D52+'Temas transversales y comunica.'!D67</f>
        <v>51823.011587728623</v>
      </c>
      <c r="E21" s="439">
        <f>'Costa de Marfil'!E77+'Rep. de Congo'!E55+Zambia!E69+Indonesia!E67+Myanmar!E61+'Viet Nam'!E57+Colombia!E78+México!E67+Perú!E76+'Enfoque territorial'!E70+'Financiación y sector privado'!E48+'Tenencia-derechos PI'!E66+NFMS!E50+'Acuerdo de París y ODS'!E69+'Mecanismo de financ. REDD+ '!E52+'Temas transversales y comunica.'!E67</f>
        <v>411778.48000000004</v>
      </c>
      <c r="F21" s="439">
        <f>'Costa de Marfil'!F77+'Rep. de Congo'!F55+Zambia!F69+Indonesia!F67+Myanmar!F61+'Viet Nam'!F57+Colombia!F78+México!F67+Perú!F76+'Enfoque territorial'!F70+'Financiación y sector privado'!F48+'Tenencia-derechos PI'!F66+NFMS!F50+'Acuerdo de París y ODS'!F69+'Mecanismo de financ. REDD+ '!F52+'Temas transversales y comunica.'!F67</f>
        <v>195000</v>
      </c>
      <c r="G21" s="435"/>
      <c r="H21" s="435"/>
      <c r="I21" s="435"/>
      <c r="J21" s="435"/>
    </row>
    <row r="22" spans="2:10" ht="20.149999999999999" customHeight="1" x14ac:dyDescent="0.3">
      <c r="B22" s="440" t="s">
        <v>183</v>
      </c>
      <c r="C22" s="441">
        <f>SUM(C15:C21)</f>
        <v>7113992.6157469172</v>
      </c>
      <c r="D22" s="441">
        <f>SUM(D15:D21)</f>
        <v>1099488.7307469163</v>
      </c>
      <c r="E22" s="441">
        <f>SUM(E15:E21)</f>
        <v>4153579.6850000001</v>
      </c>
      <c r="F22" s="441">
        <f>SUM(F15:F21)</f>
        <v>1860924.2</v>
      </c>
      <c r="G22" s="435"/>
      <c r="H22" s="435"/>
      <c r="I22" s="435"/>
      <c r="J22" s="435"/>
    </row>
    <row r="23" spans="2:10" ht="20.149999999999999" customHeight="1" x14ac:dyDescent="0.3">
      <c r="B23" s="442" t="s">
        <v>75</v>
      </c>
      <c r="C23" s="472">
        <f>C22+C12</f>
        <v>9487399.5575274527</v>
      </c>
      <c r="D23" s="443">
        <f>D22+D12</f>
        <v>2805895.6725274525</v>
      </c>
      <c r="E23" s="443">
        <f>E22+E12</f>
        <v>4153579.6850000001</v>
      </c>
      <c r="F23" s="443">
        <f>F22+F12</f>
        <v>2527924.2000000002</v>
      </c>
      <c r="G23" s="435"/>
      <c r="H23" s="435"/>
      <c r="I23" s="435"/>
      <c r="J23" s="435"/>
    </row>
    <row r="24" spans="2:10" ht="20.149999999999999" customHeight="1" x14ac:dyDescent="0.3">
      <c r="B24" s="442" t="s">
        <v>76</v>
      </c>
      <c r="C24" s="443">
        <f>C23*0.07</f>
        <v>664117.96902692178</v>
      </c>
      <c r="D24" s="443">
        <f>D23*0.07</f>
        <v>196412.6970769217</v>
      </c>
      <c r="E24" s="443">
        <f>E23*0.07</f>
        <v>290750.57795000001</v>
      </c>
      <c r="F24" s="443">
        <f>F23*0.07</f>
        <v>176954.69400000002</v>
      </c>
      <c r="G24" s="435"/>
      <c r="H24" s="435"/>
      <c r="I24" s="435"/>
      <c r="J24" s="435"/>
    </row>
    <row r="25" spans="2:10" ht="20.149999999999999" customHeight="1" x14ac:dyDescent="0.3">
      <c r="B25" s="444" t="s">
        <v>77</v>
      </c>
      <c r="C25" s="445">
        <f>C23+C24</f>
        <v>10151517.526554374</v>
      </c>
      <c r="D25" s="445">
        <f>D23+D24</f>
        <v>3002308.3696043743</v>
      </c>
      <c r="E25" s="445">
        <f>E23+E24</f>
        <v>4444330.2629500004</v>
      </c>
      <c r="F25" s="445">
        <f>F23+F24</f>
        <v>2704878.8940000003</v>
      </c>
      <c r="G25" s="435"/>
      <c r="H25" s="435"/>
      <c r="I25" s="435"/>
      <c r="J25" s="435"/>
    </row>
    <row r="27" spans="2:10" x14ac:dyDescent="0.3">
      <c r="E27" s="447"/>
    </row>
    <row r="28" spans="2:10" x14ac:dyDescent="0.3">
      <c r="B28" s="448" t="s">
        <v>78</v>
      </c>
      <c r="C28" s="449" t="s">
        <v>61</v>
      </c>
      <c r="E28" s="447"/>
    </row>
    <row r="29" spans="2:10" ht="24.75" customHeight="1" x14ac:dyDescent="0.3">
      <c r="B29" s="261" t="s">
        <v>67</v>
      </c>
      <c r="C29" s="450">
        <f>C5+C15</f>
        <v>7550602.0769036245</v>
      </c>
      <c r="E29" s="447"/>
    </row>
    <row r="30" spans="2:10" ht="23.25" customHeight="1" x14ac:dyDescent="0.3">
      <c r="B30" s="261" t="s">
        <v>68</v>
      </c>
      <c r="C30" s="450">
        <f>C6+C16</f>
        <v>0</v>
      </c>
      <c r="E30" s="447"/>
    </row>
    <row r="31" spans="2:10" x14ac:dyDescent="0.3">
      <c r="B31" s="264" t="s">
        <v>69</v>
      </c>
      <c r="C31" s="450">
        <f>C7+C17</f>
        <v>0</v>
      </c>
      <c r="E31" s="447"/>
    </row>
    <row r="32" spans="2:10" ht="22.5" customHeight="1" x14ac:dyDescent="0.3">
      <c r="B32" s="261" t="s">
        <v>70</v>
      </c>
      <c r="C32" s="451">
        <f>C8+C18</f>
        <v>30000</v>
      </c>
      <c r="E32" s="447"/>
    </row>
    <row r="33" spans="2:5" ht="20.25" customHeight="1" x14ac:dyDescent="0.3">
      <c r="B33" s="261" t="s">
        <v>71</v>
      </c>
      <c r="C33" s="451">
        <f>C9+C19</f>
        <v>1098991.4188405368</v>
      </c>
      <c r="E33" s="447"/>
    </row>
    <row r="34" spans="2:5" ht="19.5" customHeight="1" x14ac:dyDescent="0.3">
      <c r="B34" s="264" t="s">
        <v>73</v>
      </c>
      <c r="C34" s="451">
        <f>C11+C21</f>
        <v>807806.06178329163</v>
      </c>
      <c r="E34" s="447"/>
    </row>
    <row r="35" spans="2:5" ht="19.5" customHeight="1" x14ac:dyDescent="0.3">
      <c r="B35" s="452" t="s">
        <v>79</v>
      </c>
      <c r="C35" s="453">
        <f>SUM(C29:C34)</f>
        <v>9487399.5575274527</v>
      </c>
      <c r="E35" s="447"/>
    </row>
    <row r="36" spans="2:5" ht="15.75" customHeight="1" x14ac:dyDescent="0.3">
      <c r="B36" s="452" t="s">
        <v>80</v>
      </c>
      <c r="C36" s="451">
        <f>0.07*C35</f>
        <v>664117.96902692178</v>
      </c>
      <c r="E36" s="447"/>
    </row>
    <row r="37" spans="2:5" ht="19.5" customHeight="1" x14ac:dyDescent="0.3">
      <c r="B37" s="448" t="s">
        <v>81</v>
      </c>
      <c r="C37" s="454">
        <f>SUM(C35:C36)</f>
        <v>10151517.526554374</v>
      </c>
      <c r="E37" s="447"/>
    </row>
  </sheetData>
  <mergeCells count="3">
    <mergeCell ref="B3:F3"/>
    <mergeCell ref="B13:F13"/>
    <mergeCell ref="B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zoomScale="80" zoomScaleNormal="80" workbookViewId="0">
      <selection activeCell="G2" sqref="G2:J2"/>
    </sheetView>
  </sheetViews>
  <sheetFormatPr defaultColWidth="9.1796875" defaultRowHeight="12" x14ac:dyDescent="0.3"/>
  <cols>
    <col min="1" max="1" width="9.1796875" style="311"/>
    <col min="2" max="2" width="39.81640625" style="311" customWidth="1"/>
    <col min="3" max="3" width="12.7265625" style="311" customWidth="1"/>
    <col min="4" max="4" width="13.1796875" style="311" customWidth="1"/>
    <col min="5" max="5" width="14.54296875" style="311" customWidth="1"/>
    <col min="6" max="6" width="13.26953125" style="311" customWidth="1"/>
    <col min="7" max="7" width="13.453125" style="311" customWidth="1"/>
    <col min="8" max="8" width="12.453125" style="311" customWidth="1"/>
    <col min="9" max="9" width="15.26953125" style="311" customWidth="1"/>
    <col min="10" max="10" width="14" style="311" customWidth="1"/>
    <col min="11" max="11" width="12.453125" style="311" customWidth="1"/>
    <col min="12" max="12" width="12.7265625" style="311" customWidth="1"/>
    <col min="13" max="13" width="13.54296875" style="311" customWidth="1"/>
    <col min="14" max="14" width="12.54296875" style="311" customWidth="1"/>
    <col min="15" max="15" width="14.453125" style="311" customWidth="1"/>
    <col min="16" max="16" width="14.54296875" style="311" customWidth="1"/>
    <col min="17" max="17" width="9.7265625" style="311" bestFit="1" customWidth="1"/>
    <col min="18" max="18" width="10.81640625" style="311" customWidth="1"/>
    <col min="19" max="19" width="10.26953125" style="311" bestFit="1" customWidth="1"/>
    <col min="20" max="16384" width="9.1796875" style="311"/>
  </cols>
  <sheetData>
    <row r="2" spans="2:15" ht="35.25" customHeight="1" x14ac:dyDescent="0.3">
      <c r="B2" s="535" t="s">
        <v>82</v>
      </c>
      <c r="C2" s="537">
        <v>2018</v>
      </c>
      <c r="D2" s="538"/>
      <c r="E2" s="538"/>
      <c r="F2" s="539"/>
      <c r="G2" s="540" t="s">
        <v>83</v>
      </c>
      <c r="H2" s="541"/>
      <c r="I2" s="541"/>
      <c r="J2" s="542"/>
      <c r="K2" s="537" t="s">
        <v>366</v>
      </c>
      <c r="L2" s="538"/>
      <c r="M2" s="538"/>
      <c r="N2" s="539"/>
      <c r="O2" s="543" t="s">
        <v>77</v>
      </c>
    </row>
    <row r="3" spans="2:15" x14ac:dyDescent="0.3">
      <c r="B3" s="536"/>
      <c r="C3" s="313" t="s">
        <v>2</v>
      </c>
      <c r="D3" s="314" t="s">
        <v>65</v>
      </c>
      <c r="E3" s="315" t="s">
        <v>66</v>
      </c>
      <c r="F3" s="316" t="s">
        <v>1</v>
      </c>
      <c r="G3" s="367" t="s">
        <v>2</v>
      </c>
      <c r="H3" s="368" t="s">
        <v>65</v>
      </c>
      <c r="I3" s="368" t="s">
        <v>66</v>
      </c>
      <c r="J3" s="369" t="s">
        <v>1</v>
      </c>
      <c r="K3" s="367" t="s">
        <v>2</v>
      </c>
      <c r="L3" s="368" t="s">
        <v>65</v>
      </c>
      <c r="M3" s="368" t="s">
        <v>66</v>
      </c>
      <c r="N3" s="369" t="s">
        <v>1</v>
      </c>
      <c r="O3" s="543"/>
    </row>
    <row r="4" spans="2:15" x14ac:dyDescent="0.2">
      <c r="B4" s="370" t="s">
        <v>365</v>
      </c>
      <c r="C4" s="371">
        <f t="shared" ref="C4:N4" si="0">C5+C9+C13</f>
        <v>1988598</v>
      </c>
      <c r="D4" s="372">
        <f t="shared" si="0"/>
        <v>1891720</v>
      </c>
      <c r="E4" s="372">
        <f t="shared" si="0"/>
        <v>657924</v>
      </c>
      <c r="F4" s="373">
        <f t="shared" si="0"/>
        <v>4538242</v>
      </c>
      <c r="G4" s="374">
        <f t="shared" si="0"/>
        <v>1988598.0495837554</v>
      </c>
      <c r="H4" s="375">
        <f t="shared" si="0"/>
        <v>1861063.78</v>
      </c>
      <c r="I4" s="375">
        <f t="shared" si="0"/>
        <v>657924.19999999995</v>
      </c>
      <c r="J4" s="375">
        <f t="shared" si="0"/>
        <v>4507586.0295837559</v>
      </c>
      <c r="K4" s="374">
        <f t="shared" si="0"/>
        <v>1988598</v>
      </c>
      <c r="L4" s="375">
        <f t="shared" si="0"/>
        <v>1827520</v>
      </c>
      <c r="M4" s="375">
        <f t="shared" si="0"/>
        <v>657924</v>
      </c>
      <c r="N4" s="376">
        <f t="shared" si="0"/>
        <v>4474042</v>
      </c>
      <c r="O4" s="377">
        <f>F4+J4+N4</f>
        <v>13519870.029583756</v>
      </c>
    </row>
    <row r="5" spans="2:15" ht="20.149999999999999" customHeight="1" x14ac:dyDescent="0.3">
      <c r="B5" s="378" t="s">
        <v>84</v>
      </c>
      <c r="C5" s="379">
        <f>SUM(C6:C8)</f>
        <v>660336</v>
      </c>
      <c r="D5" s="380">
        <f>SUM(D6:D8)</f>
        <v>439580</v>
      </c>
      <c r="E5" s="380">
        <f>SUM(E6:E8)</f>
        <v>189300</v>
      </c>
      <c r="F5" s="381">
        <f>SUM(F6:F8)</f>
        <v>1289216</v>
      </c>
      <c r="G5" s="379">
        <f>G6+G7+G8</f>
        <v>660336.17367055023</v>
      </c>
      <c r="H5" s="379">
        <f>H6+H7+H8</f>
        <v>402241.67</v>
      </c>
      <c r="I5" s="379">
        <f>I6+I7+I8</f>
        <v>189300</v>
      </c>
      <c r="J5" s="379">
        <f>J6+J7+J8</f>
        <v>1251877.8436705503</v>
      </c>
      <c r="K5" s="379">
        <f>SUM(K6:K8)</f>
        <v>660336</v>
      </c>
      <c r="L5" s="380">
        <f>SUM(L6:L8)</f>
        <v>372880</v>
      </c>
      <c r="M5" s="380">
        <f>SUM(M6:M8)</f>
        <v>189300</v>
      </c>
      <c r="N5" s="381">
        <f t="shared" ref="N5:N16" si="1">SUM(K5:M5)</f>
        <v>1222516</v>
      </c>
      <c r="O5" s="382">
        <f>F5+J5+N5</f>
        <v>3763609.8436705503</v>
      </c>
    </row>
    <row r="6" spans="2:15" ht="20.149999999999999" customHeight="1" x14ac:dyDescent="0.3">
      <c r="B6" s="383" t="s">
        <v>87</v>
      </c>
      <c r="C6" s="384">
        <v>202402</v>
      </c>
      <c r="D6" s="385">
        <v>366540</v>
      </c>
      <c r="E6" s="385">
        <v>95000</v>
      </c>
      <c r="F6" s="386">
        <f>SUM(C6:E6)</f>
        <v>663942</v>
      </c>
      <c r="G6" s="387">
        <f>'Comparativo 2019'!J6</f>
        <v>202401.95069516427</v>
      </c>
      <c r="H6" s="387">
        <f>'Comparativo 2019'!K6</f>
        <v>374708.67</v>
      </c>
      <c r="I6" s="387">
        <f>'Comparativo 2019'!L6</f>
        <v>95000</v>
      </c>
      <c r="J6" s="387">
        <f>G6+H6+I6</f>
        <v>672110.62069516419</v>
      </c>
      <c r="K6" s="387">
        <v>202402</v>
      </c>
      <c r="L6" s="388">
        <v>338860</v>
      </c>
      <c r="M6" s="388">
        <v>95000</v>
      </c>
      <c r="N6" s="389">
        <f t="shared" si="1"/>
        <v>636262</v>
      </c>
      <c r="O6" s="390">
        <f t="shared" ref="O6:O16" si="2">F6+J6+N6</f>
        <v>1972314.6206951642</v>
      </c>
    </row>
    <row r="7" spans="2:15" ht="20.149999999999999" customHeight="1" x14ac:dyDescent="0.3">
      <c r="B7" s="383" t="s">
        <v>88</v>
      </c>
      <c r="C7" s="384">
        <v>240352</v>
      </c>
      <c r="D7" s="385">
        <v>0</v>
      </c>
      <c r="E7" s="385">
        <v>0</v>
      </c>
      <c r="F7" s="386">
        <f>SUM(C7:E7)</f>
        <v>240352</v>
      </c>
      <c r="G7" s="387">
        <f>'Comparativo 2019'!J7</f>
        <v>240352.22297538599</v>
      </c>
      <c r="H7" s="387">
        <f>'Comparativo 2019'!K7</f>
        <v>0</v>
      </c>
      <c r="I7" s="387">
        <f>'Comparativo 2019'!L7</f>
        <v>0</v>
      </c>
      <c r="J7" s="387">
        <f t="shared" ref="J7:J24" si="3">G7+H7+I7</f>
        <v>240352.22297538599</v>
      </c>
      <c r="K7" s="387">
        <v>240352</v>
      </c>
      <c r="L7" s="388">
        <v>0</v>
      </c>
      <c r="M7" s="388">
        <v>0</v>
      </c>
      <c r="N7" s="389">
        <f t="shared" si="1"/>
        <v>240352</v>
      </c>
      <c r="O7" s="390">
        <f t="shared" si="2"/>
        <v>721056.22297538596</v>
      </c>
    </row>
    <row r="8" spans="2:15" ht="20.149999999999999" customHeight="1" x14ac:dyDescent="0.3">
      <c r="B8" s="383" t="s">
        <v>9</v>
      </c>
      <c r="C8" s="384">
        <v>217582</v>
      </c>
      <c r="D8" s="385">
        <v>73040</v>
      </c>
      <c r="E8" s="385">
        <v>94300</v>
      </c>
      <c r="F8" s="386">
        <f>SUM(C8:E8)</f>
        <v>384922</v>
      </c>
      <c r="G8" s="387">
        <f>'Comparativo 2019'!J8</f>
        <v>217582</v>
      </c>
      <c r="H8" s="387">
        <f>'Comparativo 2019'!K8</f>
        <v>27533</v>
      </c>
      <c r="I8" s="387">
        <f>'Comparativo 2019'!L8</f>
        <v>94300</v>
      </c>
      <c r="J8" s="387">
        <f t="shared" si="3"/>
        <v>339415</v>
      </c>
      <c r="K8" s="387">
        <v>217582</v>
      </c>
      <c r="L8" s="388">
        <v>34020</v>
      </c>
      <c r="M8" s="388">
        <v>94300</v>
      </c>
      <c r="N8" s="389">
        <f t="shared" si="1"/>
        <v>345902</v>
      </c>
      <c r="O8" s="390">
        <f t="shared" si="2"/>
        <v>1070239</v>
      </c>
    </row>
    <row r="9" spans="2:15" ht="20.149999999999999" customHeight="1" x14ac:dyDescent="0.3">
      <c r="B9" s="391" t="s">
        <v>10</v>
      </c>
      <c r="C9" s="392">
        <f>SUM(C10:C12)</f>
        <v>834908</v>
      </c>
      <c r="D9" s="393">
        <f>SUM(D10:D12)</f>
        <v>533960</v>
      </c>
      <c r="E9" s="393">
        <f>SUM(E10:E12)</f>
        <v>231000</v>
      </c>
      <c r="F9" s="394">
        <f>SUM(F10:F12)</f>
        <v>1599868</v>
      </c>
      <c r="G9" s="395">
        <f>G10+G11+G12</f>
        <v>834907.08446736203</v>
      </c>
      <c r="H9" s="395">
        <f>H10+H11+H12</f>
        <v>539798.65</v>
      </c>
      <c r="I9" s="395">
        <f>I10+I11+I12</f>
        <v>231000</v>
      </c>
      <c r="J9" s="395">
        <f>J10+J11+J12</f>
        <v>1605705.7344673621</v>
      </c>
      <c r="K9" s="395">
        <f>SUM(K10:K12)</f>
        <v>834908</v>
      </c>
      <c r="L9" s="396">
        <f>SUM(L10:L12)</f>
        <v>547800</v>
      </c>
      <c r="M9" s="396">
        <f>SUM(M10:M12)</f>
        <v>231000</v>
      </c>
      <c r="N9" s="394">
        <f t="shared" si="1"/>
        <v>1613708</v>
      </c>
      <c r="O9" s="382">
        <f t="shared" si="2"/>
        <v>4819281.7344673621</v>
      </c>
    </row>
    <row r="10" spans="2:15" ht="20.149999999999999" customHeight="1" x14ac:dyDescent="0.3">
      <c r="B10" s="383" t="s">
        <v>11</v>
      </c>
      <c r="C10" s="384">
        <v>442755</v>
      </c>
      <c r="D10" s="385">
        <v>241800</v>
      </c>
      <c r="E10" s="385">
        <v>185000</v>
      </c>
      <c r="F10" s="386">
        <f>SUM(C10:E10)</f>
        <v>869555</v>
      </c>
      <c r="G10" s="387">
        <f>'Comparativo 2019'!J10</f>
        <v>442754</v>
      </c>
      <c r="H10" s="387">
        <f>'Comparativo 2019'!K10</f>
        <v>207110.49</v>
      </c>
      <c r="I10" s="387">
        <f>'Comparativo 2019'!L10</f>
        <v>185000</v>
      </c>
      <c r="J10" s="387">
        <f t="shared" si="3"/>
        <v>834864.49</v>
      </c>
      <c r="K10" s="387">
        <v>442755</v>
      </c>
      <c r="L10" s="388">
        <v>191440</v>
      </c>
      <c r="M10" s="388">
        <v>185000</v>
      </c>
      <c r="N10" s="389">
        <f t="shared" si="1"/>
        <v>819195</v>
      </c>
      <c r="O10" s="390">
        <f t="shared" si="2"/>
        <v>2523614.4900000002</v>
      </c>
    </row>
    <row r="11" spans="2:15" ht="20.149999999999999" customHeight="1" x14ac:dyDescent="0.3">
      <c r="B11" s="383" t="s">
        <v>12</v>
      </c>
      <c r="C11" s="384">
        <v>189751</v>
      </c>
      <c r="D11" s="385">
        <v>157420</v>
      </c>
      <c r="E11" s="385">
        <v>46000</v>
      </c>
      <c r="F11" s="386">
        <f>SUM(C11:E11)</f>
        <v>393171</v>
      </c>
      <c r="G11" s="387">
        <f>'Comparativo 2019'!J11</f>
        <v>189751.49287153597</v>
      </c>
      <c r="H11" s="387">
        <f>'Comparativo 2019'!K11</f>
        <v>163707.78</v>
      </c>
      <c r="I11" s="387">
        <f>'Comparativo 2019'!L11</f>
        <v>46000</v>
      </c>
      <c r="J11" s="387">
        <f t="shared" si="3"/>
        <v>399459.27287153597</v>
      </c>
      <c r="K11" s="387">
        <v>189751</v>
      </c>
      <c r="L11" s="388">
        <v>207780</v>
      </c>
      <c r="M11" s="388">
        <v>46000</v>
      </c>
      <c r="N11" s="389">
        <f t="shared" si="1"/>
        <v>443531</v>
      </c>
      <c r="O11" s="390">
        <f t="shared" si="2"/>
        <v>1236161.272871536</v>
      </c>
    </row>
    <row r="12" spans="2:15" ht="20.149999999999999" customHeight="1" x14ac:dyDescent="0.3">
      <c r="B12" s="383" t="s">
        <v>13</v>
      </c>
      <c r="C12" s="384">
        <v>202402</v>
      </c>
      <c r="D12" s="385">
        <v>134740</v>
      </c>
      <c r="E12" s="385"/>
      <c r="F12" s="386">
        <f>SUM(C12:E12)</f>
        <v>337142</v>
      </c>
      <c r="G12" s="387">
        <f>'Comparativo 2019'!J12</f>
        <v>202401.59159582609</v>
      </c>
      <c r="H12" s="387">
        <f>'Comparativo 2019'!K12</f>
        <v>168980.38</v>
      </c>
      <c r="I12" s="387">
        <f>'Comparativo 2019'!L12</f>
        <v>0</v>
      </c>
      <c r="J12" s="387">
        <f t="shared" si="3"/>
        <v>371381.97159582609</v>
      </c>
      <c r="K12" s="387">
        <v>202402</v>
      </c>
      <c r="L12" s="388">
        <v>148580</v>
      </c>
      <c r="M12" s="388"/>
      <c r="N12" s="389">
        <f t="shared" si="1"/>
        <v>350982</v>
      </c>
      <c r="O12" s="390">
        <f t="shared" si="2"/>
        <v>1059505.9715958261</v>
      </c>
    </row>
    <row r="13" spans="2:15" ht="20.149999999999999" customHeight="1" x14ac:dyDescent="0.2">
      <c r="B13" s="391" t="s">
        <v>14</v>
      </c>
      <c r="C13" s="392">
        <f>SUM(C14:C16)</f>
        <v>493354</v>
      </c>
      <c r="D13" s="393">
        <f>SUM(D14:D16)</f>
        <v>918180</v>
      </c>
      <c r="E13" s="393">
        <f>SUM(E14:E16)</f>
        <v>237624</v>
      </c>
      <c r="F13" s="394">
        <f>SUM(F14:F16)</f>
        <v>1649158</v>
      </c>
      <c r="G13" s="395">
        <f>G14+G15+G16</f>
        <v>493354.79144584312</v>
      </c>
      <c r="H13" s="395">
        <f>H14+H15+H16</f>
        <v>919023.46</v>
      </c>
      <c r="I13" s="395">
        <f>I14+I15+I16</f>
        <v>237624.19999999998</v>
      </c>
      <c r="J13" s="395">
        <f>J14+J15+J16</f>
        <v>1650002.4514458431</v>
      </c>
      <c r="K13" s="395">
        <f>SUM(K14:K16)</f>
        <v>493354</v>
      </c>
      <c r="L13" s="396">
        <f>SUM(L14:L16)</f>
        <v>906840</v>
      </c>
      <c r="M13" s="396">
        <f>SUM(M14:M16)</f>
        <v>237624</v>
      </c>
      <c r="N13" s="394">
        <f t="shared" si="1"/>
        <v>1637818</v>
      </c>
      <c r="O13" s="382">
        <f t="shared" si="2"/>
        <v>4936978.4514458431</v>
      </c>
    </row>
    <row r="14" spans="2:15" ht="20.149999999999999" customHeight="1" x14ac:dyDescent="0.2">
      <c r="B14" s="383" t="s">
        <v>15</v>
      </c>
      <c r="C14" s="384">
        <v>227702</v>
      </c>
      <c r="D14" s="385">
        <v>227960</v>
      </c>
      <c r="E14" s="385">
        <v>58903</v>
      </c>
      <c r="F14" s="386">
        <f>SUM(C14:E14)</f>
        <v>514565</v>
      </c>
      <c r="G14" s="387">
        <f>'Comparativo 2019'!J14</f>
        <v>227701.79144584312</v>
      </c>
      <c r="H14" s="387">
        <f>'Comparativo 2019'!K14</f>
        <v>240241</v>
      </c>
      <c r="I14" s="387">
        <f>'Comparativo 2019'!L14</f>
        <v>58903.199999999997</v>
      </c>
      <c r="J14" s="388">
        <f t="shared" si="3"/>
        <v>526845.99144584313</v>
      </c>
      <c r="K14" s="387">
        <v>227702</v>
      </c>
      <c r="L14" s="388">
        <v>253140</v>
      </c>
      <c r="M14" s="388">
        <v>58903</v>
      </c>
      <c r="N14" s="389">
        <f t="shared" si="1"/>
        <v>539745</v>
      </c>
      <c r="O14" s="390">
        <f t="shared" si="2"/>
        <v>1581155.9914458431</v>
      </c>
    </row>
    <row r="15" spans="2:15" ht="20.149999999999999" customHeight="1" x14ac:dyDescent="0.3">
      <c r="B15" s="383" t="s">
        <v>85</v>
      </c>
      <c r="C15" s="384">
        <v>151801</v>
      </c>
      <c r="D15" s="385">
        <v>289660</v>
      </c>
      <c r="E15" s="385">
        <v>85126</v>
      </c>
      <c r="F15" s="386">
        <f>SUM(C15:E15)</f>
        <v>526587</v>
      </c>
      <c r="G15" s="387">
        <f>'Comparativo 2019'!J15</f>
        <v>151801</v>
      </c>
      <c r="H15" s="387">
        <f>'Comparativo 2019'!K15</f>
        <v>213692.46000000002</v>
      </c>
      <c r="I15" s="387">
        <f>'Comparativo 2019'!L15</f>
        <v>85125.666666666672</v>
      </c>
      <c r="J15" s="388">
        <f t="shared" si="3"/>
        <v>450619.12666666671</v>
      </c>
      <c r="K15" s="387">
        <v>151801</v>
      </c>
      <c r="L15" s="388">
        <v>239300</v>
      </c>
      <c r="M15" s="388">
        <v>85126</v>
      </c>
      <c r="N15" s="389">
        <f t="shared" si="1"/>
        <v>476227</v>
      </c>
      <c r="O15" s="390">
        <f t="shared" si="2"/>
        <v>1453433.1266666667</v>
      </c>
    </row>
    <row r="16" spans="2:15" ht="20.149999999999999" customHeight="1" x14ac:dyDescent="0.3">
      <c r="B16" s="383" t="s">
        <v>86</v>
      </c>
      <c r="C16" s="384">
        <v>113851</v>
      </c>
      <c r="D16" s="385">
        <v>400560</v>
      </c>
      <c r="E16" s="397">
        <v>93595</v>
      </c>
      <c r="F16" s="386">
        <f>SUM(C16:E16)</f>
        <v>608006</v>
      </c>
      <c r="G16" s="387">
        <f>'Comparativo 2019'!J16</f>
        <v>113852</v>
      </c>
      <c r="H16" s="387">
        <f>'Comparativo 2019'!K16</f>
        <v>465090</v>
      </c>
      <c r="I16" s="387">
        <f>'Comparativo 2019'!L16</f>
        <v>93595.333333333314</v>
      </c>
      <c r="J16" s="388">
        <f t="shared" si="3"/>
        <v>672537.33333333326</v>
      </c>
      <c r="K16" s="387">
        <v>113851</v>
      </c>
      <c r="L16" s="388">
        <v>414400</v>
      </c>
      <c r="M16" s="388">
        <v>93595</v>
      </c>
      <c r="N16" s="398">
        <f t="shared" si="1"/>
        <v>621846</v>
      </c>
      <c r="O16" s="390">
        <f t="shared" si="2"/>
        <v>1902389.3333333333</v>
      </c>
    </row>
    <row r="17" spans="2:15" ht="20.149999999999999" customHeight="1" x14ac:dyDescent="0.3">
      <c r="B17" s="399" t="s">
        <v>89</v>
      </c>
      <c r="C17" s="400">
        <f>SUM(C18:C24)</f>
        <v>817298</v>
      </c>
      <c r="D17" s="401">
        <f t="shared" ref="D17:M17" si="4">SUM(D18:D24)</f>
        <v>1488020</v>
      </c>
      <c r="E17" s="401">
        <f t="shared" si="4"/>
        <v>1870000</v>
      </c>
      <c r="F17" s="402">
        <f t="shared" si="4"/>
        <v>4175318</v>
      </c>
      <c r="G17" s="403">
        <f>G18+G19+G20+G21+G22+G23+G24</f>
        <v>817297.6229436968</v>
      </c>
      <c r="H17" s="403">
        <f>H18+H19+H20+H21+H22+H23+H24</f>
        <v>2292515.9050000003</v>
      </c>
      <c r="I17" s="403">
        <f>I18+I19+I20+I21+I22+I23+I24</f>
        <v>1870000</v>
      </c>
      <c r="J17" s="403">
        <f>J18+J19+J20+J21+J22+J23+J24</f>
        <v>4979813.5279436968</v>
      </c>
      <c r="K17" s="403">
        <f t="shared" si="4"/>
        <v>877297</v>
      </c>
      <c r="L17" s="404">
        <f t="shared" si="4"/>
        <v>1556060</v>
      </c>
      <c r="M17" s="404">
        <f t="shared" si="4"/>
        <v>1870000</v>
      </c>
      <c r="N17" s="405">
        <f>SUM(N18:N24)</f>
        <v>4303357</v>
      </c>
      <c r="O17" s="406">
        <f>F17+J17+N17</f>
        <v>13458488.527943697</v>
      </c>
    </row>
    <row r="18" spans="2:15" ht="20.149999999999999" customHeight="1" x14ac:dyDescent="0.2">
      <c r="B18" s="383" t="s">
        <v>90</v>
      </c>
      <c r="C18" s="407">
        <v>210152</v>
      </c>
      <c r="D18" s="408"/>
      <c r="E18" s="408">
        <v>94000</v>
      </c>
      <c r="F18" s="409">
        <f>SUM(C18:E18)</f>
        <v>304152</v>
      </c>
      <c r="G18" s="410">
        <f>'Comparativo 2019'!J18</f>
        <v>210151.95502079604</v>
      </c>
      <c r="H18" s="410">
        <f>'Comparativo 2019'!K18</f>
        <v>0</v>
      </c>
      <c r="I18" s="410">
        <f>'Comparativo 2019'!L18</f>
        <v>94000</v>
      </c>
      <c r="J18" s="411">
        <f t="shared" si="3"/>
        <v>304151.95502079604</v>
      </c>
      <c r="K18" s="410">
        <v>210151</v>
      </c>
      <c r="L18" s="411"/>
      <c r="M18" s="411">
        <v>94000</v>
      </c>
      <c r="N18" s="412">
        <f t="shared" ref="N18:N24" si="5">SUM(K18:M18)</f>
        <v>304151</v>
      </c>
      <c r="O18" s="413">
        <f>F18+J18+N18</f>
        <v>912454.95502079604</v>
      </c>
    </row>
    <row r="19" spans="2:15" ht="20.149999999999999" customHeight="1" x14ac:dyDescent="0.3">
      <c r="B19" s="383" t="s">
        <v>91</v>
      </c>
      <c r="C19" s="407"/>
      <c r="D19" s="408"/>
      <c r="E19" s="408">
        <v>467000</v>
      </c>
      <c r="F19" s="409">
        <f t="shared" ref="F19:F24" si="6">SUM(C19:E19)</f>
        <v>467000</v>
      </c>
      <c r="G19" s="410">
        <f>'Comparativo 2019'!J19</f>
        <v>0</v>
      </c>
      <c r="H19" s="410">
        <f>'Comparativo 2019'!K19</f>
        <v>0</v>
      </c>
      <c r="I19" s="410">
        <f>'Comparativo 2019'!L19</f>
        <v>467000</v>
      </c>
      <c r="J19" s="411">
        <f t="shared" si="3"/>
        <v>467000</v>
      </c>
      <c r="K19" s="410"/>
      <c r="L19" s="411"/>
      <c r="M19" s="411">
        <v>467000</v>
      </c>
      <c r="N19" s="412">
        <f t="shared" si="5"/>
        <v>467000</v>
      </c>
      <c r="O19" s="413">
        <f t="shared" ref="O19:O24" si="7">F19+J19+N19</f>
        <v>1401000</v>
      </c>
    </row>
    <row r="20" spans="2:15" ht="20.149999999999999" customHeight="1" x14ac:dyDescent="0.3">
      <c r="B20" s="502" t="s">
        <v>184</v>
      </c>
      <c r="C20" s="501">
        <v>208943</v>
      </c>
      <c r="D20" s="408">
        <v>495560</v>
      </c>
      <c r="E20" s="408"/>
      <c r="F20" s="409">
        <f t="shared" si="6"/>
        <v>704503</v>
      </c>
      <c r="G20" s="410">
        <f>'Comparativo 2019'!J20</f>
        <v>208942.69637081883</v>
      </c>
      <c r="H20" s="410">
        <f>'Comparativo 2019'!K20</f>
        <v>580858.94999999995</v>
      </c>
      <c r="I20" s="410">
        <f>'Comparativo 2019'!L20</f>
        <v>0</v>
      </c>
      <c r="J20" s="411">
        <f t="shared" si="3"/>
        <v>789801.64637081884</v>
      </c>
      <c r="K20" s="410">
        <v>208943</v>
      </c>
      <c r="L20" s="411">
        <v>518240</v>
      </c>
      <c r="M20" s="411"/>
      <c r="N20" s="412">
        <f t="shared" si="5"/>
        <v>727183</v>
      </c>
      <c r="O20" s="413">
        <f t="shared" si="7"/>
        <v>2221487.6463708188</v>
      </c>
    </row>
    <row r="21" spans="2:15" ht="20.149999999999999" customHeight="1" x14ac:dyDescent="0.2">
      <c r="B21" s="383" t="s">
        <v>92</v>
      </c>
      <c r="C21" s="407">
        <v>323203</v>
      </c>
      <c r="D21" s="408"/>
      <c r="E21" s="408"/>
      <c r="F21" s="409">
        <f t="shared" si="6"/>
        <v>323203</v>
      </c>
      <c r="G21" s="410">
        <f>'Comparativo 2019'!J21</f>
        <v>323202.97155208187</v>
      </c>
      <c r="H21" s="410">
        <f>'Comparativo 2019'!K21</f>
        <v>0</v>
      </c>
      <c r="I21" s="410">
        <f>'Comparativo 2019'!L21</f>
        <v>0</v>
      </c>
      <c r="J21" s="411">
        <f t="shared" si="3"/>
        <v>323202.97155208187</v>
      </c>
      <c r="K21" s="410">
        <v>383203</v>
      </c>
      <c r="L21" s="411"/>
      <c r="M21" s="411"/>
      <c r="N21" s="412">
        <f t="shared" si="5"/>
        <v>383203</v>
      </c>
      <c r="O21" s="413">
        <f t="shared" si="7"/>
        <v>1029608.9715520819</v>
      </c>
    </row>
    <row r="22" spans="2:15" ht="20.149999999999999" customHeight="1" x14ac:dyDescent="0.3">
      <c r="B22" s="383" t="s">
        <v>185</v>
      </c>
      <c r="C22" s="407">
        <v>75000</v>
      </c>
      <c r="D22" s="408">
        <v>562260</v>
      </c>
      <c r="E22" s="408"/>
      <c r="F22" s="409">
        <f t="shared" si="6"/>
        <v>637260</v>
      </c>
      <c r="G22" s="410">
        <f>'Comparativo 2019'!J22</f>
        <v>75000</v>
      </c>
      <c r="H22" s="410">
        <f>'Comparativo 2019'!K22</f>
        <v>963946.95500000007</v>
      </c>
      <c r="I22" s="410">
        <f>'Comparativo 2019'!L22</f>
        <v>0</v>
      </c>
      <c r="J22" s="411">
        <f t="shared" si="3"/>
        <v>1038946.9550000001</v>
      </c>
      <c r="K22" s="410">
        <v>75000</v>
      </c>
      <c r="L22" s="411">
        <v>596280</v>
      </c>
      <c r="M22" s="411"/>
      <c r="N22" s="412">
        <f t="shared" si="5"/>
        <v>671280</v>
      </c>
      <c r="O22" s="413">
        <f t="shared" si="7"/>
        <v>2347486.9550000001</v>
      </c>
    </row>
    <row r="23" spans="2:15" ht="20.149999999999999" customHeight="1" x14ac:dyDescent="0.3">
      <c r="B23" s="383" t="s">
        <v>93</v>
      </c>
      <c r="C23" s="407"/>
      <c r="D23" s="408">
        <v>430200</v>
      </c>
      <c r="E23" s="408"/>
      <c r="F23" s="409">
        <f t="shared" si="6"/>
        <v>430200</v>
      </c>
      <c r="G23" s="410">
        <f>'Comparativo 2019'!J23</f>
        <v>0</v>
      </c>
      <c r="H23" s="410">
        <f>'Comparativo 2019'!K23</f>
        <v>747710</v>
      </c>
      <c r="I23" s="410">
        <f>'Comparativo 2019'!L23</f>
        <v>0</v>
      </c>
      <c r="J23" s="411">
        <f t="shared" si="3"/>
        <v>747710</v>
      </c>
      <c r="K23" s="410"/>
      <c r="L23" s="411">
        <v>441540</v>
      </c>
      <c r="M23" s="411"/>
      <c r="N23" s="412">
        <f t="shared" si="5"/>
        <v>441540</v>
      </c>
      <c r="O23" s="413">
        <f t="shared" si="7"/>
        <v>1619450</v>
      </c>
    </row>
    <row r="24" spans="2:15" ht="20.149999999999999" customHeight="1" x14ac:dyDescent="0.3">
      <c r="B24" s="383" t="s">
        <v>94</v>
      </c>
      <c r="C24" s="407">
        <v>0</v>
      </c>
      <c r="D24" s="408"/>
      <c r="E24" s="408">
        <v>1309000</v>
      </c>
      <c r="F24" s="409">
        <f t="shared" si="6"/>
        <v>1309000</v>
      </c>
      <c r="G24" s="410">
        <f>'Comparativo 2019'!J24</f>
        <v>0</v>
      </c>
      <c r="H24" s="410">
        <f>'Comparativo 2019'!K24</f>
        <v>0</v>
      </c>
      <c r="I24" s="410">
        <f>'Comparativo 2019'!L24</f>
        <v>1309000</v>
      </c>
      <c r="J24" s="411">
        <f t="shared" si="3"/>
        <v>1309000</v>
      </c>
      <c r="K24" s="410"/>
      <c r="L24" s="411"/>
      <c r="M24" s="411">
        <v>1309000</v>
      </c>
      <c r="N24" s="412">
        <f t="shared" si="5"/>
        <v>1309000</v>
      </c>
      <c r="O24" s="413">
        <f t="shared" si="7"/>
        <v>3927000</v>
      </c>
    </row>
    <row r="25" spans="2:15" ht="20.149999999999999" customHeight="1" x14ac:dyDescent="0.3">
      <c r="B25" s="391" t="s">
        <v>79</v>
      </c>
      <c r="C25" s="414">
        <f>C17+C13+C9+C5</f>
        <v>2805896</v>
      </c>
      <c r="D25" s="415">
        <f>D17+D13+D9+D5</f>
        <v>3379740</v>
      </c>
      <c r="E25" s="415">
        <f>E17+E13+E9+E5</f>
        <v>2527924</v>
      </c>
      <c r="F25" s="416">
        <f>F17+F13+F9+F5</f>
        <v>8713560</v>
      </c>
      <c r="G25" s="417">
        <f t="shared" ref="G25:N25" si="8">G17+G4</f>
        <v>2805895.672527452</v>
      </c>
      <c r="H25" s="417">
        <f t="shared" si="8"/>
        <v>4153579.6850000005</v>
      </c>
      <c r="I25" s="417">
        <f t="shared" si="8"/>
        <v>2527924.2000000002</v>
      </c>
      <c r="J25" s="418">
        <f t="shared" si="8"/>
        <v>9487399.5575274527</v>
      </c>
      <c r="K25" s="419">
        <f t="shared" si="8"/>
        <v>2865895</v>
      </c>
      <c r="L25" s="415">
        <f t="shared" si="8"/>
        <v>3383580</v>
      </c>
      <c r="M25" s="415">
        <f t="shared" si="8"/>
        <v>2527924</v>
      </c>
      <c r="N25" s="420">
        <f t="shared" si="8"/>
        <v>8777399</v>
      </c>
      <c r="O25" s="421">
        <f>F25+J25+N25</f>
        <v>26978358.557527453</v>
      </c>
    </row>
    <row r="26" spans="2:15" ht="20.149999999999999" customHeight="1" x14ac:dyDescent="0.3">
      <c r="B26" s="422" t="s">
        <v>95</v>
      </c>
      <c r="C26" s="423">
        <f t="shared" ref="C26:O26" si="9">C25*0.07</f>
        <v>196412.72000000003</v>
      </c>
      <c r="D26" s="424">
        <f t="shared" si="9"/>
        <v>236581.80000000002</v>
      </c>
      <c r="E26" s="424">
        <f t="shared" si="9"/>
        <v>176954.68000000002</v>
      </c>
      <c r="F26" s="425">
        <f t="shared" si="9"/>
        <v>609949.20000000007</v>
      </c>
      <c r="G26" s="423">
        <f t="shared" si="9"/>
        <v>196412.69707692167</v>
      </c>
      <c r="H26" s="423">
        <f t="shared" si="9"/>
        <v>290750.57795000006</v>
      </c>
      <c r="I26" s="423">
        <f t="shared" si="9"/>
        <v>176954.69400000002</v>
      </c>
      <c r="J26" s="423">
        <f t="shared" si="9"/>
        <v>664117.96902692178</v>
      </c>
      <c r="K26" s="423">
        <f t="shared" si="9"/>
        <v>200612.65000000002</v>
      </c>
      <c r="L26" s="424">
        <f t="shared" si="9"/>
        <v>236850.60000000003</v>
      </c>
      <c r="M26" s="424">
        <f t="shared" si="9"/>
        <v>176954.68000000002</v>
      </c>
      <c r="N26" s="425">
        <f t="shared" si="9"/>
        <v>614417.93000000005</v>
      </c>
      <c r="O26" s="426">
        <f t="shared" si="9"/>
        <v>1888485.0990269219</v>
      </c>
    </row>
    <row r="27" spans="2:15" ht="20.149999999999999" customHeight="1" x14ac:dyDescent="0.3">
      <c r="B27" s="427" t="s">
        <v>28</v>
      </c>
      <c r="C27" s="428">
        <f>SUM(C25:C26)</f>
        <v>3002308.72</v>
      </c>
      <c r="D27" s="429">
        <f>SUM(D25:D26)</f>
        <v>3616321.8</v>
      </c>
      <c r="E27" s="429">
        <f>SUM(E25:E26)</f>
        <v>2704878.68</v>
      </c>
      <c r="F27" s="430">
        <f>SUM(F25:F26)</f>
        <v>9323509.1999999993</v>
      </c>
      <c r="G27" s="431">
        <f>G26+G25</f>
        <v>3002308.3696043738</v>
      </c>
      <c r="H27" s="431">
        <f t="shared" ref="H27:O27" si="10">H26+H25</f>
        <v>4444330.2629500004</v>
      </c>
      <c r="I27" s="431">
        <f t="shared" si="10"/>
        <v>2704878.8940000003</v>
      </c>
      <c r="J27" s="431">
        <f t="shared" si="10"/>
        <v>10151517.526554374</v>
      </c>
      <c r="K27" s="431">
        <f t="shared" si="10"/>
        <v>3066507.65</v>
      </c>
      <c r="L27" s="431">
        <f t="shared" si="10"/>
        <v>3620430.6</v>
      </c>
      <c r="M27" s="431">
        <f t="shared" si="10"/>
        <v>2704878.68</v>
      </c>
      <c r="N27" s="431">
        <f t="shared" si="10"/>
        <v>9391816.9299999997</v>
      </c>
      <c r="O27" s="431">
        <f t="shared" si="10"/>
        <v>28866843.656554375</v>
      </c>
    </row>
    <row r="28" spans="2:15" x14ac:dyDescent="0.3">
      <c r="C28" s="432"/>
    </row>
    <row r="29" spans="2:15" x14ac:dyDescent="0.3">
      <c r="C29" s="433"/>
      <c r="D29" s="434"/>
      <c r="E29" s="434"/>
      <c r="F29" s="434"/>
      <c r="G29" s="433"/>
      <c r="K29" s="433"/>
    </row>
    <row r="30" spans="2:15" x14ac:dyDescent="0.3">
      <c r="C30" s="433"/>
      <c r="G30" s="433"/>
    </row>
    <row r="32" spans="2:15" x14ac:dyDescent="0.3">
      <c r="D32" s="433"/>
      <c r="H32" s="433"/>
    </row>
    <row r="33" spans="8:8" x14ac:dyDescent="0.3">
      <c r="H33" s="433"/>
    </row>
    <row r="34" spans="8:8" x14ac:dyDescent="0.3">
      <c r="H34" s="433"/>
    </row>
    <row r="35" spans="8:8" x14ac:dyDescent="0.3">
      <c r="H35" s="433"/>
    </row>
  </sheetData>
  <mergeCells count="5">
    <mergeCell ref="B2:B3"/>
    <mergeCell ref="C2:F2"/>
    <mergeCell ref="G2:J2"/>
    <mergeCell ref="K2:N2"/>
    <mergeCell ref="O2:O3"/>
  </mergeCell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Normal="100" workbookViewId="0">
      <selection activeCell="C11" sqref="C11"/>
    </sheetView>
  </sheetViews>
  <sheetFormatPr defaultColWidth="9.1796875" defaultRowHeight="12" x14ac:dyDescent="0.3"/>
  <cols>
    <col min="1" max="1" width="34.81640625" style="353" customWidth="1"/>
    <col min="2" max="8" width="12.1796875" style="353" bestFit="1" customWidth="1"/>
    <col min="9" max="9" width="11.54296875" style="353" customWidth="1"/>
    <col min="10" max="11" width="16.26953125" style="353" customWidth="1"/>
    <col min="12" max="12" width="15.1796875" style="353" customWidth="1"/>
    <col min="13" max="13" width="11.54296875" style="353" bestFit="1" customWidth="1"/>
    <col min="14" max="17" width="9.7265625" style="353" hidden="1" customWidth="1"/>
    <col min="18" max="18" width="14.453125" style="353" hidden="1" customWidth="1"/>
    <col min="19" max="19" width="9.54296875" style="353" customWidth="1"/>
    <col min="20" max="20" width="10" style="353" bestFit="1" customWidth="1"/>
    <col min="21" max="21" width="10.26953125" style="353" bestFit="1" customWidth="1"/>
    <col min="22" max="22" width="10" style="353" bestFit="1" customWidth="1"/>
    <col min="23" max="23" width="10" style="311" bestFit="1" customWidth="1"/>
    <col min="24" max="16384" width="9.1796875" style="311"/>
  </cols>
  <sheetData>
    <row r="1" spans="1:23" ht="24.65" customHeight="1" x14ac:dyDescent="0.2">
      <c r="A1" s="544" t="s">
        <v>96</v>
      </c>
      <c r="B1" s="544"/>
      <c r="C1" s="544"/>
      <c r="D1" s="544"/>
      <c r="E1" s="544"/>
      <c r="F1" s="544"/>
      <c r="G1" s="544"/>
      <c r="H1" s="544"/>
      <c r="I1" s="544"/>
      <c r="J1" s="544"/>
      <c r="K1" s="544"/>
      <c r="L1" s="544"/>
      <c r="M1" s="544"/>
      <c r="N1" s="544"/>
      <c r="O1" s="544"/>
      <c r="P1" s="544"/>
      <c r="Q1" s="544"/>
      <c r="R1" s="544"/>
      <c r="S1" s="544"/>
      <c r="T1" s="544"/>
      <c r="U1" s="544"/>
      <c r="V1" s="544"/>
      <c r="W1" s="545"/>
    </row>
    <row r="2" spans="1:23" x14ac:dyDescent="0.3">
      <c r="A2" s="535" t="s">
        <v>82</v>
      </c>
      <c r="B2" s="537">
        <v>2018</v>
      </c>
      <c r="C2" s="538"/>
      <c r="D2" s="538"/>
      <c r="E2" s="539"/>
      <c r="F2" s="546" t="s">
        <v>99</v>
      </c>
      <c r="G2" s="547"/>
      <c r="H2" s="547"/>
      <c r="I2" s="548"/>
      <c r="J2" s="549" t="s">
        <v>83</v>
      </c>
      <c r="K2" s="550"/>
      <c r="L2" s="550"/>
      <c r="M2" s="551"/>
      <c r="N2" s="537">
        <v>2020</v>
      </c>
      <c r="O2" s="538"/>
      <c r="P2" s="538"/>
      <c r="Q2" s="539"/>
      <c r="R2" s="552" t="s">
        <v>42</v>
      </c>
      <c r="S2" s="553" t="s">
        <v>100</v>
      </c>
      <c r="T2" s="538"/>
      <c r="U2" s="538"/>
      <c r="V2" s="552"/>
      <c r="W2" s="312"/>
    </row>
    <row r="3" spans="1:23" x14ac:dyDescent="0.3">
      <c r="A3" s="536"/>
      <c r="B3" s="313" t="s">
        <v>2</v>
      </c>
      <c r="C3" s="314" t="s">
        <v>65</v>
      </c>
      <c r="D3" s="315" t="s">
        <v>66</v>
      </c>
      <c r="E3" s="316" t="s">
        <v>1</v>
      </c>
      <c r="F3" s="313" t="s">
        <v>2</v>
      </c>
      <c r="G3" s="496" t="s">
        <v>65</v>
      </c>
      <c r="H3" s="497" t="s">
        <v>66</v>
      </c>
      <c r="I3" s="316" t="s">
        <v>1</v>
      </c>
      <c r="J3" s="317" t="s">
        <v>2</v>
      </c>
      <c r="K3" s="317" t="s">
        <v>65</v>
      </c>
      <c r="L3" s="317" t="s">
        <v>66</v>
      </c>
      <c r="M3" s="318" t="s">
        <v>1</v>
      </c>
      <c r="N3" s="313" t="s">
        <v>2</v>
      </c>
      <c r="O3" s="314" t="s">
        <v>65</v>
      </c>
      <c r="P3" s="314" t="s">
        <v>66</v>
      </c>
      <c r="Q3" s="316" t="s">
        <v>1</v>
      </c>
      <c r="R3" s="552"/>
      <c r="S3" s="313" t="s">
        <v>2</v>
      </c>
      <c r="T3" s="496" t="s">
        <v>65</v>
      </c>
      <c r="U3" s="497" t="s">
        <v>66</v>
      </c>
      <c r="V3" s="313" t="s">
        <v>1</v>
      </c>
    </row>
    <row r="4" spans="1:23" x14ac:dyDescent="0.2">
      <c r="A4" s="319" t="s">
        <v>364</v>
      </c>
      <c r="B4" s="320">
        <f t="shared" ref="B4:V4" si="0">B5+B9+B13</f>
        <v>1988598</v>
      </c>
      <c r="C4" s="321">
        <f t="shared" si="0"/>
        <v>1891720</v>
      </c>
      <c r="D4" s="321">
        <f t="shared" si="0"/>
        <v>657924</v>
      </c>
      <c r="E4" s="322">
        <f t="shared" si="0"/>
        <v>4538242</v>
      </c>
      <c r="F4" s="323">
        <f t="shared" si="0"/>
        <v>1988599</v>
      </c>
      <c r="G4" s="323">
        <f t="shared" si="0"/>
        <v>1876540</v>
      </c>
      <c r="H4" s="323">
        <f t="shared" si="0"/>
        <v>657924</v>
      </c>
      <c r="I4" s="323">
        <f t="shared" si="0"/>
        <v>4523063</v>
      </c>
      <c r="J4" s="324">
        <f t="shared" si="0"/>
        <v>1988598.0495837554</v>
      </c>
      <c r="K4" s="324">
        <f t="shared" si="0"/>
        <v>1861063.78</v>
      </c>
      <c r="L4" s="324">
        <f t="shared" si="0"/>
        <v>657924.19999999995</v>
      </c>
      <c r="M4" s="324">
        <f t="shared" si="0"/>
        <v>4507586.0295837559</v>
      </c>
      <c r="N4" s="323">
        <f t="shared" si="0"/>
        <v>1988598</v>
      </c>
      <c r="O4" s="323">
        <f t="shared" si="0"/>
        <v>1827520</v>
      </c>
      <c r="P4" s="323">
        <f t="shared" si="0"/>
        <v>657924</v>
      </c>
      <c r="Q4" s="323">
        <f t="shared" si="0"/>
        <v>4474042</v>
      </c>
      <c r="R4" s="323">
        <f t="shared" si="0"/>
        <v>13515270.569583755</v>
      </c>
      <c r="S4" s="323">
        <f t="shared" si="0"/>
        <v>-0.95041624462464824</v>
      </c>
      <c r="T4" s="323">
        <f t="shared" si="0"/>
        <v>-15476.22000000003</v>
      </c>
      <c r="U4" s="323">
        <f t="shared" si="0"/>
        <v>0.1999999999825377</v>
      </c>
      <c r="V4" s="323">
        <f t="shared" si="0"/>
        <v>-15476.970416244585</v>
      </c>
    </row>
    <row r="5" spans="1:23" ht="20.149999999999999" customHeight="1" x14ac:dyDescent="0.3">
      <c r="A5" s="325" t="s">
        <v>84</v>
      </c>
      <c r="B5" s="326">
        <f t="shared" ref="B5:G5" si="1">SUM(B6:B8)</f>
        <v>660336</v>
      </c>
      <c r="C5" s="327">
        <f t="shared" si="1"/>
        <v>439580</v>
      </c>
      <c r="D5" s="327">
        <f t="shared" si="1"/>
        <v>189300</v>
      </c>
      <c r="E5" s="328">
        <f t="shared" si="1"/>
        <v>1289216</v>
      </c>
      <c r="F5" s="326">
        <f t="shared" si="1"/>
        <v>660337</v>
      </c>
      <c r="G5" s="329">
        <f t="shared" si="1"/>
        <v>389220</v>
      </c>
      <c r="H5" s="328">
        <f>H6+H7+H8</f>
        <v>189300</v>
      </c>
      <c r="I5" s="328">
        <f>H5+G5+F5</f>
        <v>1238857</v>
      </c>
      <c r="J5" s="330">
        <f>J6+J7+J8</f>
        <v>660336.17367055023</v>
      </c>
      <c r="K5" s="330">
        <f>K6+K7+K8</f>
        <v>402241.67</v>
      </c>
      <c r="L5" s="330">
        <f>L6+L7+L8</f>
        <v>189300</v>
      </c>
      <c r="M5" s="330">
        <f>M6+M7+M8</f>
        <v>1251877.8436705503</v>
      </c>
      <c r="N5" s="326">
        <f>SUM(N6:N8)</f>
        <v>660336</v>
      </c>
      <c r="O5" s="327">
        <f>SUM(O6:O8)</f>
        <v>372880</v>
      </c>
      <c r="P5" s="327">
        <f>SUM(P6:P8)</f>
        <v>189300</v>
      </c>
      <c r="Q5" s="328">
        <f>SUM(N5:P5)</f>
        <v>1222516</v>
      </c>
      <c r="R5" s="331">
        <f>E5+M5+Q5</f>
        <v>3763609.8436705503</v>
      </c>
      <c r="S5" s="328">
        <f>J5-F5</f>
        <v>-0.8263294497737661</v>
      </c>
      <c r="T5" s="328">
        <f>K5-G5</f>
        <v>13021.669999999984</v>
      </c>
      <c r="U5" s="328">
        <f>L5-H5</f>
        <v>0</v>
      </c>
      <c r="V5" s="328">
        <f>M5-I5</f>
        <v>13020.843670550268</v>
      </c>
    </row>
    <row r="6" spans="1:23" ht="20.149999999999999" customHeight="1" x14ac:dyDescent="0.2">
      <c r="A6" s="499" t="s">
        <v>87</v>
      </c>
      <c r="B6" s="355">
        <v>202402</v>
      </c>
      <c r="C6" s="356">
        <v>366540</v>
      </c>
      <c r="D6" s="356">
        <v>95000</v>
      </c>
      <c r="E6" s="357">
        <f>SUM(B6:D6)</f>
        <v>663942</v>
      </c>
      <c r="F6" s="355">
        <f>'[5]2018 - 2020 Budget (2)'!F$6</f>
        <v>202402</v>
      </c>
      <c r="G6" s="355">
        <f>'[5]2018 - 2020 Budget (2)'!G$6</f>
        <v>352700</v>
      </c>
      <c r="H6" s="355">
        <f>'[5]2018 - 2020 Budget (2)'!H$6</f>
        <v>95000</v>
      </c>
      <c r="I6" s="355">
        <f>H6+G6+F6</f>
        <v>650102</v>
      </c>
      <c r="J6" s="358">
        <f>'Costa de Marfil'!C44</f>
        <v>202401.95069516427</v>
      </c>
      <c r="K6" s="358">
        <f>'Costa de Marfil'!D44</f>
        <v>374708.67</v>
      </c>
      <c r="L6" s="358">
        <f>'Costa de Marfil'!E44</f>
        <v>95000</v>
      </c>
      <c r="M6" s="358">
        <f>L6+K6+J6</f>
        <v>672110.62069516419</v>
      </c>
      <c r="N6" s="355">
        <f>'[5]2018 - 2020 Budget (2)'!N$6</f>
        <v>202402</v>
      </c>
      <c r="O6" s="355">
        <f>'[5]2018 - 2020 Budget (2)'!O$6</f>
        <v>338860</v>
      </c>
      <c r="P6" s="355">
        <f>'[5]2018 - 2020 Budget (2)'!P$6</f>
        <v>95000</v>
      </c>
      <c r="Q6" s="355">
        <f>'[5]2018 - 2020 Budget (2)'!Q$6</f>
        <v>636262</v>
      </c>
      <c r="R6" s="355">
        <f>'[5]2018 - 2020 Budget (2)'!R$6</f>
        <v>1816129</v>
      </c>
      <c r="S6" s="332">
        <f t="shared" ref="S6:S27" si="2">J6-F6</f>
        <v>-4.9304835731163621E-2</v>
      </c>
      <c r="T6" s="332">
        <f t="shared" ref="T6:U9" si="3">K6-G6</f>
        <v>22008.669999999984</v>
      </c>
      <c r="U6" s="332">
        <f t="shared" si="3"/>
        <v>0</v>
      </c>
      <c r="V6" s="332">
        <f t="shared" ref="V6:V27" si="4">M6-I6</f>
        <v>22008.620695164194</v>
      </c>
    </row>
    <row r="7" spans="1:23" ht="20.149999999999999" customHeight="1" x14ac:dyDescent="0.3">
      <c r="A7" s="499" t="s">
        <v>88</v>
      </c>
      <c r="B7" s="355">
        <v>240352</v>
      </c>
      <c r="C7" s="356">
        <v>0</v>
      </c>
      <c r="D7" s="356">
        <v>0</v>
      </c>
      <c r="E7" s="357">
        <f>SUM(B7:D7)</f>
        <v>240352</v>
      </c>
      <c r="F7" s="355">
        <f>'[5]2018 - 2020 Budget (2)'!F$7</f>
        <v>240352</v>
      </c>
      <c r="G7" s="355">
        <f>'[5]2018 - 2020 Budget (2)'!G$7</f>
        <v>0</v>
      </c>
      <c r="H7" s="355">
        <f>'[5]2018 - 2020 Budget (2)'!H$7</f>
        <v>0</v>
      </c>
      <c r="I7" s="355">
        <f t="shared" ref="I7:I14" si="5">F7+G7+H7</f>
        <v>240352</v>
      </c>
      <c r="J7" s="358">
        <f>'Rep. de Congo'!C29</f>
        <v>240352.22297538599</v>
      </c>
      <c r="K7" s="358">
        <f>'Rep. de Congo'!D29</f>
        <v>0</v>
      </c>
      <c r="L7" s="358">
        <f>'Rep. de Congo'!E29</f>
        <v>0</v>
      </c>
      <c r="M7" s="358">
        <f t="shared" ref="M7:M24" si="6">L7+K7+J7</f>
        <v>240352.22297538599</v>
      </c>
      <c r="N7" s="355">
        <v>240352</v>
      </c>
      <c r="O7" s="356">
        <v>0</v>
      </c>
      <c r="P7" s="356">
        <v>0</v>
      </c>
      <c r="Q7" s="357">
        <f>SUM(N7:P7)</f>
        <v>240352</v>
      </c>
      <c r="R7" s="359">
        <f>E7+M7+Q7</f>
        <v>721056.22297538596</v>
      </c>
      <c r="S7" s="332">
        <f t="shared" si="2"/>
        <v>0.22297538598650135</v>
      </c>
      <c r="T7" s="332">
        <f t="shared" si="3"/>
        <v>0</v>
      </c>
      <c r="U7" s="332">
        <f t="shared" si="3"/>
        <v>0</v>
      </c>
      <c r="V7" s="332">
        <f t="shared" si="4"/>
        <v>0.22297538598650135</v>
      </c>
    </row>
    <row r="8" spans="1:23" ht="20.149999999999999" customHeight="1" x14ac:dyDescent="0.2">
      <c r="A8" s="499" t="s">
        <v>9</v>
      </c>
      <c r="B8" s="355">
        <v>217582</v>
      </c>
      <c r="C8" s="356">
        <v>73040</v>
      </c>
      <c r="D8" s="356">
        <v>94300</v>
      </c>
      <c r="E8" s="357">
        <f>SUM(B8:D8)</f>
        <v>384922</v>
      </c>
      <c r="F8" s="355">
        <f>'[5]2018 - 2020 Budget (2)'!F$9</f>
        <v>217583</v>
      </c>
      <c r="G8" s="355">
        <f>'[5]2018 - 2020 Budget (2)'!G$9</f>
        <v>36520</v>
      </c>
      <c r="H8" s="355">
        <f>'[5]2018 - 2020 Budget (2)'!H$9</f>
        <v>94300</v>
      </c>
      <c r="I8" s="355">
        <f t="shared" si="5"/>
        <v>348403</v>
      </c>
      <c r="J8" s="358">
        <f>Zambia!C44</f>
        <v>217582</v>
      </c>
      <c r="K8" s="358">
        <f>Zambia!D44</f>
        <v>27533</v>
      </c>
      <c r="L8" s="358">
        <f>Zambia!E44</f>
        <v>94300</v>
      </c>
      <c r="M8" s="358">
        <f t="shared" si="6"/>
        <v>339415</v>
      </c>
      <c r="N8" s="355">
        <v>217582</v>
      </c>
      <c r="O8" s="356">
        <v>34020</v>
      </c>
      <c r="P8" s="356">
        <v>94300</v>
      </c>
      <c r="Q8" s="357">
        <f t="shared" ref="Q8:Q14" si="7">SUM(N8:P8)</f>
        <v>345902</v>
      </c>
      <c r="R8" s="359">
        <f t="shared" ref="R8:R23" si="8">E8+M8+Q8</f>
        <v>1070239</v>
      </c>
      <c r="S8" s="332">
        <f t="shared" si="2"/>
        <v>-1</v>
      </c>
      <c r="T8" s="332">
        <f t="shared" si="3"/>
        <v>-8987</v>
      </c>
      <c r="U8" s="332">
        <f t="shared" si="3"/>
        <v>0</v>
      </c>
      <c r="V8" s="332">
        <f t="shared" si="4"/>
        <v>-8988</v>
      </c>
    </row>
    <row r="9" spans="1:23" ht="20.149999999999999" customHeight="1" x14ac:dyDescent="0.3">
      <c r="A9" s="325" t="s">
        <v>10</v>
      </c>
      <c r="B9" s="360">
        <f t="shared" ref="B9:H9" si="9">SUM(B10:B12)</f>
        <v>834908</v>
      </c>
      <c r="C9" s="361">
        <f t="shared" si="9"/>
        <v>533960</v>
      </c>
      <c r="D9" s="361">
        <f t="shared" si="9"/>
        <v>231000</v>
      </c>
      <c r="E9" s="362">
        <f t="shared" si="9"/>
        <v>1599868</v>
      </c>
      <c r="F9" s="360">
        <f t="shared" si="9"/>
        <v>834908</v>
      </c>
      <c r="G9" s="361">
        <f t="shared" si="9"/>
        <v>550300</v>
      </c>
      <c r="H9" s="361">
        <f t="shared" si="9"/>
        <v>231000</v>
      </c>
      <c r="I9" s="361">
        <f t="shared" si="5"/>
        <v>1616208</v>
      </c>
      <c r="J9" s="363">
        <f>J10+J11+J12</f>
        <v>834907.08446736203</v>
      </c>
      <c r="K9" s="363">
        <f>K10+K11+K12</f>
        <v>539798.65</v>
      </c>
      <c r="L9" s="363">
        <f>L10+L11+L12</f>
        <v>231000</v>
      </c>
      <c r="M9" s="363">
        <f>M10+M11+M12</f>
        <v>1605705.7344673621</v>
      </c>
      <c r="N9" s="360">
        <f>SUM(N10:N12)</f>
        <v>834908</v>
      </c>
      <c r="O9" s="361">
        <f>SUM(O10:O12)</f>
        <v>547800</v>
      </c>
      <c r="P9" s="361">
        <f>SUM(P10:P12)</f>
        <v>231000</v>
      </c>
      <c r="Q9" s="362">
        <f t="shared" si="7"/>
        <v>1613708</v>
      </c>
      <c r="R9" s="331">
        <f t="shared" si="8"/>
        <v>4819281.7344673621</v>
      </c>
      <c r="S9" s="328">
        <f t="shared" si="2"/>
        <v>-0.91553263796959072</v>
      </c>
      <c r="T9" s="328">
        <f t="shared" si="3"/>
        <v>-10501.349999999977</v>
      </c>
      <c r="U9" s="328">
        <f t="shared" si="3"/>
        <v>0</v>
      </c>
      <c r="V9" s="328">
        <f t="shared" si="4"/>
        <v>-10502.265532637946</v>
      </c>
    </row>
    <row r="10" spans="1:23" ht="20.149999999999999" customHeight="1" x14ac:dyDescent="0.3">
      <c r="A10" s="364" t="s">
        <v>11</v>
      </c>
      <c r="B10" s="355">
        <v>442755</v>
      </c>
      <c r="C10" s="356">
        <v>241800</v>
      </c>
      <c r="D10" s="356">
        <v>185000</v>
      </c>
      <c r="E10" s="357">
        <f>SUM(B10:D10)</f>
        <v>869555</v>
      </c>
      <c r="F10" s="355">
        <f>'[5]2018 - 2020 Budget (2)'!F$11</f>
        <v>442755</v>
      </c>
      <c r="G10" s="355">
        <f>'[5]2018 - 2020 Budget (2)'!G$11</f>
        <v>216620</v>
      </c>
      <c r="H10" s="355">
        <f>'[5]2018 - 2020 Budget (2)'!H$11</f>
        <v>185000</v>
      </c>
      <c r="I10" s="355">
        <f t="shared" si="5"/>
        <v>844375</v>
      </c>
      <c r="J10" s="358">
        <f>Indonesia!C41</f>
        <v>442754</v>
      </c>
      <c r="K10" s="358">
        <f>Indonesia!D41</f>
        <v>207110.49</v>
      </c>
      <c r="L10" s="358">
        <f>Indonesia!E41</f>
        <v>185000</v>
      </c>
      <c r="M10" s="358">
        <f t="shared" si="6"/>
        <v>834864.49</v>
      </c>
      <c r="N10" s="355">
        <v>442755</v>
      </c>
      <c r="O10" s="356">
        <v>191440</v>
      </c>
      <c r="P10" s="356">
        <v>185000</v>
      </c>
      <c r="Q10" s="357">
        <f t="shared" si="7"/>
        <v>819195</v>
      </c>
      <c r="R10" s="359">
        <f t="shared" si="8"/>
        <v>2523614.4900000002</v>
      </c>
      <c r="S10" s="332">
        <f t="shared" si="2"/>
        <v>-1</v>
      </c>
      <c r="T10" s="332">
        <f t="shared" ref="T10:T27" si="10">K10-G10</f>
        <v>-9509.5100000000093</v>
      </c>
      <c r="U10" s="332">
        <f t="shared" ref="U10:U27" si="11">L10-H10</f>
        <v>0</v>
      </c>
      <c r="V10" s="332">
        <f t="shared" si="4"/>
        <v>-9510.5100000000093</v>
      </c>
    </row>
    <row r="11" spans="1:23" ht="20.149999999999999" customHeight="1" x14ac:dyDescent="0.3">
      <c r="A11" s="354" t="s">
        <v>12</v>
      </c>
      <c r="B11" s="355">
        <v>189751</v>
      </c>
      <c r="C11" s="356">
        <v>157420</v>
      </c>
      <c r="D11" s="356">
        <v>46000</v>
      </c>
      <c r="E11" s="357">
        <f>SUM(B11:D11)</f>
        <v>393171</v>
      </c>
      <c r="F11" s="355">
        <f>'[5]2018 - 2020 Budget (2)'!F$12</f>
        <v>189751</v>
      </c>
      <c r="G11" s="355">
        <f>'[5]2018 - 2020 Budget (2)'!G$12</f>
        <v>171260</v>
      </c>
      <c r="H11" s="355">
        <f>'[5]2018 - 2020 Budget (2)'!H$12</f>
        <v>46000</v>
      </c>
      <c r="I11" s="355">
        <f t="shared" si="5"/>
        <v>407011</v>
      </c>
      <c r="J11" s="358">
        <f>Myanmar!C36</f>
        <v>189751.49287153597</v>
      </c>
      <c r="K11" s="358">
        <f>Myanmar!D36</f>
        <v>163707.78</v>
      </c>
      <c r="L11" s="358">
        <f>Myanmar!E36</f>
        <v>46000</v>
      </c>
      <c r="M11" s="358">
        <f t="shared" si="6"/>
        <v>399459.27287153597</v>
      </c>
      <c r="N11" s="355">
        <v>189751</v>
      </c>
      <c r="O11" s="356">
        <v>207780</v>
      </c>
      <c r="P11" s="356">
        <v>46000</v>
      </c>
      <c r="Q11" s="357">
        <f t="shared" si="7"/>
        <v>443531</v>
      </c>
      <c r="R11" s="359">
        <f t="shared" si="8"/>
        <v>1236161.272871536</v>
      </c>
      <c r="S11" s="332">
        <f t="shared" si="2"/>
        <v>0.49287153597106226</v>
      </c>
      <c r="T11" s="332">
        <f t="shared" si="10"/>
        <v>-7552.2200000000012</v>
      </c>
      <c r="U11" s="332">
        <f t="shared" si="11"/>
        <v>0</v>
      </c>
      <c r="V11" s="332">
        <f t="shared" si="4"/>
        <v>-7551.7271284640301</v>
      </c>
    </row>
    <row r="12" spans="1:23" ht="20.149999999999999" customHeight="1" x14ac:dyDescent="0.3">
      <c r="A12" s="354" t="s">
        <v>13</v>
      </c>
      <c r="B12" s="355">
        <v>202402</v>
      </c>
      <c r="C12" s="356">
        <v>134740</v>
      </c>
      <c r="D12" s="356"/>
      <c r="E12" s="357">
        <f>SUM(B12:D12)</f>
        <v>337142</v>
      </c>
      <c r="F12" s="355">
        <f>'[5]2018 - 2020 Budget (2)'!F$13</f>
        <v>202402</v>
      </c>
      <c r="G12" s="355">
        <f>'[5]2018 - 2020 Budget (2)'!G$13</f>
        <v>162420</v>
      </c>
      <c r="H12" s="355">
        <f>'[5]2018 - 2020 Budget (2)'!H$13</f>
        <v>0</v>
      </c>
      <c r="I12" s="355">
        <f t="shared" si="5"/>
        <v>364822</v>
      </c>
      <c r="J12" s="358">
        <f>'Viet Nam'!C32</f>
        <v>202401.59159582609</v>
      </c>
      <c r="K12" s="358">
        <f>'Viet Nam'!D32</f>
        <v>168980.38</v>
      </c>
      <c r="L12" s="358">
        <f>'Viet Nam'!E32</f>
        <v>0</v>
      </c>
      <c r="M12" s="358">
        <f t="shared" si="6"/>
        <v>371381.97159582609</v>
      </c>
      <c r="N12" s="355">
        <f>'[5]2018 - 2020 Budget (2)'!N$13</f>
        <v>202402</v>
      </c>
      <c r="O12" s="355">
        <f>'[5]2018 - 2020 Budget (2)'!O$13</f>
        <v>148580</v>
      </c>
      <c r="P12" s="355">
        <f>'[5]2018 - 2020 Budget (2)'!P$13</f>
        <v>0</v>
      </c>
      <c r="Q12" s="355">
        <f>'[5]2018 - 2020 Budget (2)'!Q$13</f>
        <v>350982</v>
      </c>
      <c r="R12" s="355">
        <f>'[5]2018 - 2020 Budget (2)'!R$13</f>
        <v>1048630</v>
      </c>
      <c r="S12" s="332">
        <f t="shared" si="2"/>
        <v>-0.40840417391154915</v>
      </c>
      <c r="T12" s="332">
        <f t="shared" si="10"/>
        <v>6560.3800000000047</v>
      </c>
      <c r="U12" s="332">
        <f t="shared" si="11"/>
        <v>0</v>
      </c>
      <c r="V12" s="332">
        <f t="shared" si="4"/>
        <v>6559.9715958260931</v>
      </c>
    </row>
    <row r="13" spans="1:23" ht="20.149999999999999" customHeight="1" x14ac:dyDescent="0.3">
      <c r="A13" s="325" t="s">
        <v>14</v>
      </c>
      <c r="B13" s="360">
        <f t="shared" ref="B13:H13" si="12">SUM(B14:B16)</f>
        <v>493354</v>
      </c>
      <c r="C13" s="361">
        <f t="shared" si="12"/>
        <v>918180</v>
      </c>
      <c r="D13" s="361">
        <f t="shared" si="12"/>
        <v>237624</v>
      </c>
      <c r="E13" s="362">
        <f t="shared" si="12"/>
        <v>1649158</v>
      </c>
      <c r="F13" s="360">
        <f t="shared" si="12"/>
        <v>493354</v>
      </c>
      <c r="G13" s="361">
        <f t="shared" si="12"/>
        <v>937020</v>
      </c>
      <c r="H13" s="361">
        <f t="shared" si="12"/>
        <v>237624</v>
      </c>
      <c r="I13" s="361">
        <f t="shared" si="5"/>
        <v>1667998</v>
      </c>
      <c r="J13" s="363">
        <f>J14+J15+J16</f>
        <v>493354.79144584312</v>
      </c>
      <c r="K13" s="363">
        <f t="shared" ref="K13:R13" si="13">K14+K15+K16</f>
        <v>919023.46</v>
      </c>
      <c r="L13" s="363">
        <f t="shared" si="13"/>
        <v>237624.19999999998</v>
      </c>
      <c r="M13" s="363">
        <f t="shared" si="13"/>
        <v>1650002.4514458431</v>
      </c>
      <c r="N13" s="363">
        <f t="shared" si="13"/>
        <v>493354</v>
      </c>
      <c r="O13" s="363">
        <f t="shared" si="13"/>
        <v>906840</v>
      </c>
      <c r="P13" s="363">
        <f t="shared" si="13"/>
        <v>237624</v>
      </c>
      <c r="Q13" s="363">
        <f t="shared" si="13"/>
        <v>1637818</v>
      </c>
      <c r="R13" s="363">
        <f t="shared" si="13"/>
        <v>4932378.9914458431</v>
      </c>
      <c r="S13" s="328">
        <f t="shared" si="2"/>
        <v>0.79144584311870858</v>
      </c>
      <c r="T13" s="328">
        <f>K13-G13</f>
        <v>-17996.540000000037</v>
      </c>
      <c r="U13" s="328">
        <f t="shared" si="11"/>
        <v>0.1999999999825377</v>
      </c>
      <c r="V13" s="328">
        <f t="shared" si="4"/>
        <v>-17995.548554156907</v>
      </c>
    </row>
    <row r="14" spans="1:23" ht="20.149999999999999" customHeight="1" x14ac:dyDescent="0.3">
      <c r="A14" s="354" t="s">
        <v>15</v>
      </c>
      <c r="B14" s="355">
        <v>227702</v>
      </c>
      <c r="C14" s="356">
        <v>227960</v>
      </c>
      <c r="D14" s="356">
        <v>58903</v>
      </c>
      <c r="E14" s="357">
        <f>SUM(B14:D14)</f>
        <v>514565</v>
      </c>
      <c r="F14" s="355">
        <f>'[5]2018 - 2020 Budget (2)'!F$15</f>
        <v>227702</v>
      </c>
      <c r="G14" s="355">
        <f>'[5]2018 - 2020 Budget (2)'!G$15</f>
        <v>244300</v>
      </c>
      <c r="H14" s="355">
        <f>'[5]2018 - 2020 Budget (2)'!H$15</f>
        <v>58903</v>
      </c>
      <c r="I14" s="355">
        <f t="shared" si="5"/>
        <v>530905</v>
      </c>
      <c r="J14" s="358">
        <f>Colombia!C53</f>
        <v>227701.79144584312</v>
      </c>
      <c r="K14" s="358">
        <f>Colombia!D53</f>
        <v>240241</v>
      </c>
      <c r="L14" s="358">
        <f>Colombia!E53</f>
        <v>58903.199999999997</v>
      </c>
      <c r="M14" s="358">
        <f t="shared" si="6"/>
        <v>526845.99144584313</v>
      </c>
      <c r="N14" s="355">
        <v>227702</v>
      </c>
      <c r="O14" s="356">
        <v>253140</v>
      </c>
      <c r="P14" s="356">
        <v>58903</v>
      </c>
      <c r="Q14" s="357">
        <f t="shared" si="7"/>
        <v>539745</v>
      </c>
      <c r="R14" s="359">
        <f t="shared" si="8"/>
        <v>1581155.9914458431</v>
      </c>
      <c r="S14" s="332">
        <f t="shared" si="2"/>
        <v>-0.20855415688129142</v>
      </c>
      <c r="T14" s="332">
        <f t="shared" si="10"/>
        <v>-4059</v>
      </c>
      <c r="U14" s="332">
        <f t="shared" si="11"/>
        <v>0.19999999999708962</v>
      </c>
      <c r="V14" s="332">
        <f t="shared" si="4"/>
        <v>-4059.0085541568696</v>
      </c>
    </row>
    <row r="15" spans="1:23" ht="20.149999999999999" customHeight="1" x14ac:dyDescent="0.3">
      <c r="A15" s="354" t="s">
        <v>85</v>
      </c>
      <c r="B15" s="355">
        <v>151801</v>
      </c>
      <c r="C15" s="356">
        <v>289660</v>
      </c>
      <c r="D15" s="356">
        <v>85126</v>
      </c>
      <c r="E15" s="357">
        <f>SUM(B15:D15)</f>
        <v>526587</v>
      </c>
      <c r="F15" s="355">
        <f>'[5]2018 - 2020 Budget (2)'!F$16</f>
        <v>151801</v>
      </c>
      <c r="G15" s="355">
        <f>'[5]2018 - 2020 Budget (2)'!G$16</f>
        <v>264480</v>
      </c>
      <c r="H15" s="355">
        <f>'[5]2018 - 2020 Budget (2)'!H$16</f>
        <v>85126</v>
      </c>
      <c r="I15" s="355">
        <f>H15+G15+F15</f>
        <v>501407</v>
      </c>
      <c r="J15" s="358">
        <f>México!C42</f>
        <v>151801</v>
      </c>
      <c r="K15" s="358">
        <f>México!D42</f>
        <v>213692.46000000002</v>
      </c>
      <c r="L15" s="358">
        <f>México!E42</f>
        <v>85125.666666666672</v>
      </c>
      <c r="M15" s="358">
        <f t="shared" si="6"/>
        <v>450619.12666666671</v>
      </c>
      <c r="N15" s="355">
        <f>'[5]2018 - 2020 Budget (2)'!N$16</f>
        <v>151801</v>
      </c>
      <c r="O15" s="355">
        <f>'[5]2018 - 2020 Budget (2)'!O$16</f>
        <v>239300</v>
      </c>
      <c r="P15" s="355">
        <f>'[5]2018 - 2020 Budget (2)'!P$16</f>
        <v>85126</v>
      </c>
      <c r="Q15" s="355">
        <f>'[5]2018 - 2020 Budget (2)'!Q$16</f>
        <v>476227</v>
      </c>
      <c r="R15" s="355">
        <f>'[5]2018 - 2020 Budget (2)'!R$16</f>
        <v>1453433</v>
      </c>
      <c r="S15" s="332">
        <f t="shared" si="2"/>
        <v>0</v>
      </c>
      <c r="T15" s="332">
        <f t="shared" si="10"/>
        <v>-50787.539999999979</v>
      </c>
      <c r="U15" s="332">
        <f t="shared" si="11"/>
        <v>-0.33333333332848269</v>
      </c>
      <c r="V15" s="332">
        <f t="shared" si="4"/>
        <v>-50787.873333333293</v>
      </c>
    </row>
    <row r="16" spans="1:23" ht="20.149999999999999" customHeight="1" x14ac:dyDescent="0.3">
      <c r="A16" s="354" t="s">
        <v>86</v>
      </c>
      <c r="B16" s="355">
        <v>113851</v>
      </c>
      <c r="C16" s="356">
        <v>400560</v>
      </c>
      <c r="D16" s="365">
        <v>93595</v>
      </c>
      <c r="E16" s="357">
        <f>SUM(B16:D16)</f>
        <v>608006</v>
      </c>
      <c r="F16" s="355">
        <f>'[5]2018 - 2020 Budget (2)'!F$17</f>
        <v>113851</v>
      </c>
      <c r="G16" s="355">
        <f>'[5]2018 - 2020 Budget (2)'!G$17</f>
        <v>428240</v>
      </c>
      <c r="H16" s="355">
        <f>'[5]2018 - 2020 Budget (2)'!H$17</f>
        <v>93595</v>
      </c>
      <c r="I16" s="355">
        <f>F16+G16+H16</f>
        <v>635686</v>
      </c>
      <c r="J16" s="358">
        <f>Perú!C49</f>
        <v>113852</v>
      </c>
      <c r="K16" s="358">
        <f>Perú!D49</f>
        <v>465090</v>
      </c>
      <c r="L16" s="358">
        <f>Perú!E49</f>
        <v>93595.333333333314</v>
      </c>
      <c r="M16" s="358">
        <f t="shared" si="6"/>
        <v>672537.33333333326</v>
      </c>
      <c r="N16" s="355">
        <f>'[5]2018 - 2020 Budget (2)'!N$17</f>
        <v>113851</v>
      </c>
      <c r="O16" s="355">
        <f>'[5]2018 - 2020 Budget (2)'!O$17</f>
        <v>414400</v>
      </c>
      <c r="P16" s="355">
        <f>'[5]2018 - 2020 Budget (2)'!P$17</f>
        <v>93595</v>
      </c>
      <c r="Q16" s="355">
        <f>'[5]2018 - 2020 Budget (2)'!Q$17</f>
        <v>621846</v>
      </c>
      <c r="R16" s="355">
        <f>'[5]2018 - 2020 Budget (2)'!R$17</f>
        <v>1897790</v>
      </c>
      <c r="S16" s="332">
        <f t="shared" si="2"/>
        <v>1</v>
      </c>
      <c r="T16" s="332">
        <f t="shared" si="10"/>
        <v>36850</v>
      </c>
      <c r="U16" s="332">
        <f t="shared" si="11"/>
        <v>0.33333333331393078</v>
      </c>
      <c r="V16" s="332">
        <f t="shared" si="4"/>
        <v>36851.333333333256</v>
      </c>
    </row>
    <row r="17" spans="1:22" ht="20.149999999999999" customHeight="1" x14ac:dyDescent="0.3">
      <c r="A17" s="399" t="s">
        <v>89</v>
      </c>
      <c r="B17" s="333">
        <f>SUM(B18:B24)</f>
        <v>817298</v>
      </c>
      <c r="C17" s="334">
        <f>SUM(C18:C24)</f>
        <v>1488020</v>
      </c>
      <c r="D17" s="334">
        <f>SUM(D18:D24)</f>
        <v>1870000</v>
      </c>
      <c r="E17" s="335">
        <f>SUM(E18:E24)</f>
        <v>4175318</v>
      </c>
      <c r="F17" s="333">
        <f>F18+F19+F20+F21+F22+F23+F24</f>
        <v>817297</v>
      </c>
      <c r="G17" s="333">
        <f>G18+G19+G20+G21+G22+G23+G24</f>
        <v>1522040</v>
      </c>
      <c r="H17" s="333">
        <f>H18+H19+H20+H21+H22+H23+H24</f>
        <v>1870000</v>
      </c>
      <c r="I17" s="333">
        <f>I18+I19+I20+I21+I22+I23+I24</f>
        <v>4209337</v>
      </c>
      <c r="J17" s="336">
        <f t="shared" ref="J17:R17" si="14">J18+J19+J20+J21+J22+J23+J24</f>
        <v>817297.6229436968</v>
      </c>
      <c r="K17" s="336">
        <f t="shared" si="14"/>
        <v>2292515.9050000003</v>
      </c>
      <c r="L17" s="336">
        <f t="shared" si="14"/>
        <v>1870000</v>
      </c>
      <c r="M17" s="336">
        <f t="shared" si="14"/>
        <v>4979813.5279436968</v>
      </c>
      <c r="N17" s="333">
        <f t="shared" si="14"/>
        <v>4874629</v>
      </c>
      <c r="O17" s="333">
        <f t="shared" si="14"/>
        <v>1037820</v>
      </c>
      <c r="P17" s="333">
        <f t="shared" si="14"/>
        <v>1403000</v>
      </c>
      <c r="Q17" s="333">
        <f t="shared" si="14"/>
        <v>2725971</v>
      </c>
      <c r="R17" s="333">
        <f t="shared" si="14"/>
        <v>8806391.9100207966</v>
      </c>
      <c r="S17" s="323">
        <f t="shared" si="2"/>
        <v>0.62294369679875672</v>
      </c>
      <c r="T17" s="323">
        <f>K17-G17</f>
        <v>770475.90500000026</v>
      </c>
      <c r="U17" s="323">
        <f t="shared" si="11"/>
        <v>0</v>
      </c>
      <c r="V17" s="323">
        <f t="shared" si="4"/>
        <v>770476.52794369683</v>
      </c>
    </row>
    <row r="18" spans="1:22" ht="20.149999999999999" customHeight="1" x14ac:dyDescent="0.2">
      <c r="A18" s="354" t="s">
        <v>90</v>
      </c>
      <c r="B18" s="337">
        <v>210152</v>
      </c>
      <c r="C18" s="338"/>
      <c r="D18" s="338">
        <v>94000</v>
      </c>
      <c r="E18" s="339">
        <f t="shared" ref="E18:E24" si="15">SUM(B18:D18)</f>
        <v>304152</v>
      </c>
      <c r="F18" s="347">
        <f>'[6]2018 - 2020 Budget'!G$18</f>
        <v>210151</v>
      </c>
      <c r="G18" s="347">
        <f>'[6]2018 - 2020 Budget'!H$18</f>
        <v>0</v>
      </c>
      <c r="H18" s="347">
        <f>'[6]2018 - 2020 Budget'!I$18</f>
        <v>94000</v>
      </c>
      <c r="I18" s="347">
        <f>'[6]2018 - 2020 Budget'!J$18</f>
        <v>304151</v>
      </c>
      <c r="J18" s="350">
        <f>'Enfoque territorial'!C36</f>
        <v>210151.95502079604</v>
      </c>
      <c r="K18" s="350">
        <f>'Enfoque territorial'!D36</f>
        <v>0</v>
      </c>
      <c r="L18" s="350">
        <f>'Enfoque territorial'!E36</f>
        <v>94000</v>
      </c>
      <c r="M18" s="350">
        <f t="shared" si="6"/>
        <v>304151.95502079604</v>
      </c>
      <c r="N18" s="347">
        <v>210151</v>
      </c>
      <c r="O18" s="348"/>
      <c r="P18" s="348">
        <v>94000</v>
      </c>
      <c r="Q18" s="349">
        <f t="shared" ref="Q18:Q23" si="16">SUM(N18:P18)</f>
        <v>304151</v>
      </c>
      <c r="R18" s="366">
        <f t="shared" si="8"/>
        <v>912454.95502079604</v>
      </c>
      <c r="S18" s="332">
        <f t="shared" si="2"/>
        <v>0.95502079604193568</v>
      </c>
      <c r="T18" s="332">
        <f t="shared" si="10"/>
        <v>0</v>
      </c>
      <c r="U18" s="332">
        <f t="shared" si="11"/>
        <v>0</v>
      </c>
      <c r="V18" s="332">
        <f t="shared" si="4"/>
        <v>0.95502079604193568</v>
      </c>
    </row>
    <row r="19" spans="1:22" ht="20.149999999999999" customHeight="1" x14ac:dyDescent="0.3">
      <c r="A19" s="354" t="s">
        <v>91</v>
      </c>
      <c r="B19" s="337"/>
      <c r="C19" s="338"/>
      <c r="D19" s="338">
        <v>467000</v>
      </c>
      <c r="E19" s="339">
        <f t="shared" si="15"/>
        <v>467000</v>
      </c>
      <c r="F19" s="347">
        <f>'[6]2018 - 2020 Budget'!G$19</f>
        <v>0</v>
      </c>
      <c r="G19" s="347">
        <f>'[6]2018 - 2020 Budget'!H$19</f>
        <v>0</v>
      </c>
      <c r="H19" s="347">
        <f>'[6]2018 - 2020 Budget'!I$19</f>
        <v>467000</v>
      </c>
      <c r="I19" s="347">
        <f>'[6]2018 - 2020 Budget'!J$19</f>
        <v>467000</v>
      </c>
      <c r="J19" s="350">
        <f>'Financiación y sector privado'!C24</f>
        <v>0</v>
      </c>
      <c r="K19" s="350">
        <f>'Financiación y sector privado'!D24</f>
        <v>0</v>
      </c>
      <c r="L19" s="350">
        <f>'Financiación y sector privado'!E24</f>
        <v>467000</v>
      </c>
      <c r="M19" s="350">
        <f t="shared" si="6"/>
        <v>467000</v>
      </c>
      <c r="N19" s="347">
        <f>'[6]2018 - 2020 Budget'!O$19</f>
        <v>1401000</v>
      </c>
      <c r="O19" s="347">
        <f>'[6]2018 - 2020 Budget'!P$19</f>
        <v>0</v>
      </c>
      <c r="P19" s="347">
        <f>'[6]2018 - 2020 Budget'!Q$19</f>
        <v>0</v>
      </c>
      <c r="Q19" s="347">
        <f>'[6]2018 - 2020 Budget'!R$19</f>
        <v>0</v>
      </c>
      <c r="R19" s="347">
        <f>'[6]2018 - 2020 Budget'!S$19</f>
        <v>0</v>
      </c>
      <c r="S19" s="332">
        <f t="shared" si="2"/>
        <v>0</v>
      </c>
      <c r="T19" s="332">
        <f t="shared" si="10"/>
        <v>0</v>
      </c>
      <c r="U19" s="332">
        <f t="shared" si="11"/>
        <v>0</v>
      </c>
      <c r="V19" s="332">
        <f t="shared" si="4"/>
        <v>0</v>
      </c>
    </row>
    <row r="20" spans="1:22" ht="20.149999999999999" customHeight="1" x14ac:dyDescent="0.3">
      <c r="A20" s="354" t="s">
        <v>184</v>
      </c>
      <c r="B20" s="337">
        <v>208943</v>
      </c>
      <c r="C20" s="338">
        <v>495560</v>
      </c>
      <c r="D20" s="338"/>
      <c r="E20" s="339">
        <f t="shared" si="15"/>
        <v>704503</v>
      </c>
      <c r="F20" s="347">
        <f>'[6]2018 - 2020 Budget'!G$20</f>
        <v>208943</v>
      </c>
      <c r="G20" s="347">
        <f>'[6]2018 - 2020 Budget'!H$20</f>
        <v>518240</v>
      </c>
      <c r="H20" s="347">
        <f>'[6]2018 - 2020 Budget'!I$20</f>
        <v>0</v>
      </c>
      <c r="I20" s="347">
        <f>'[6]2018 - 2020 Budget'!J$20</f>
        <v>727183</v>
      </c>
      <c r="J20" s="350">
        <f>'Tenencia-derechos PI'!C33</f>
        <v>208942.69637081883</v>
      </c>
      <c r="K20" s="350">
        <f>'Tenencia-derechos PI'!D33</f>
        <v>580858.94999999995</v>
      </c>
      <c r="L20" s="350">
        <f>'Tenencia-derechos PI'!E33</f>
        <v>0</v>
      </c>
      <c r="M20" s="350">
        <f t="shared" si="6"/>
        <v>789801.64637081884</v>
      </c>
      <c r="N20" s="347">
        <f>'[6]2018 - 2020 Budget'!O$20</f>
        <v>2158869</v>
      </c>
      <c r="O20" s="347">
        <f>'[6]2018 - 2020 Budget'!P$20</f>
        <v>0</v>
      </c>
      <c r="P20" s="347">
        <f>'[6]2018 - 2020 Budget'!Q$20</f>
        <v>0</v>
      </c>
      <c r="Q20" s="347">
        <f>'[6]2018 - 2020 Budget'!R$20</f>
        <v>0</v>
      </c>
      <c r="R20" s="347">
        <f>'[6]2018 - 2020 Budget'!S$20</f>
        <v>0</v>
      </c>
      <c r="S20" s="332">
        <f t="shared" si="2"/>
        <v>-0.3036291811731644</v>
      </c>
      <c r="T20" s="332">
        <f t="shared" si="10"/>
        <v>62618.949999999953</v>
      </c>
      <c r="U20" s="332">
        <f t="shared" si="11"/>
        <v>0</v>
      </c>
      <c r="V20" s="332">
        <f t="shared" si="4"/>
        <v>62618.646370818838</v>
      </c>
    </row>
    <row r="21" spans="1:22" ht="20.149999999999999" customHeight="1" x14ac:dyDescent="0.3">
      <c r="A21" s="354" t="s">
        <v>92</v>
      </c>
      <c r="B21" s="337">
        <v>323203</v>
      </c>
      <c r="C21" s="338"/>
      <c r="D21" s="338"/>
      <c r="E21" s="339">
        <f t="shared" si="15"/>
        <v>323203</v>
      </c>
      <c r="F21" s="347">
        <f>'[6]2018 - 2020 Budget'!G$21</f>
        <v>323203</v>
      </c>
      <c r="G21" s="347">
        <f>'[6]2018 - 2020 Budget'!H$21</f>
        <v>0</v>
      </c>
      <c r="H21" s="347">
        <f>'[6]2018 - 2020 Budget'!I$21</f>
        <v>0</v>
      </c>
      <c r="I21" s="347">
        <f>'[6]2018 - 2020 Budget'!J$21</f>
        <v>323203</v>
      </c>
      <c r="J21" s="350">
        <f>NFMS!C25</f>
        <v>323202.97155208187</v>
      </c>
      <c r="K21" s="350">
        <f>NFMS!D25</f>
        <v>0</v>
      </c>
      <c r="L21" s="350">
        <f>NFMS!E25</f>
        <v>0</v>
      </c>
      <c r="M21" s="350">
        <f t="shared" si="6"/>
        <v>323202.97155208187</v>
      </c>
      <c r="N21" s="347">
        <f>'[6]2018 - 2020 Budget'!O$21</f>
        <v>1029609</v>
      </c>
      <c r="O21" s="347">
        <f>'[6]2018 - 2020 Budget'!P$21</f>
        <v>0</v>
      </c>
      <c r="P21" s="347">
        <f>'[6]2018 - 2020 Budget'!Q$21</f>
        <v>0</v>
      </c>
      <c r="Q21" s="347">
        <f>'[6]2018 - 2020 Budget'!R$21</f>
        <v>0</v>
      </c>
      <c r="R21" s="347">
        <f>'[6]2018 - 2020 Budget'!S$21</f>
        <v>0</v>
      </c>
      <c r="S21" s="332">
        <f t="shared" si="2"/>
        <v>-2.8447918128222227E-2</v>
      </c>
      <c r="T21" s="332">
        <f t="shared" si="10"/>
        <v>0</v>
      </c>
      <c r="U21" s="332">
        <f t="shared" si="11"/>
        <v>0</v>
      </c>
      <c r="V21" s="332">
        <f t="shared" si="4"/>
        <v>-2.8447918128222227E-2</v>
      </c>
    </row>
    <row r="22" spans="1:22" ht="20.149999999999999" customHeight="1" x14ac:dyDescent="0.3">
      <c r="A22" s="354" t="s">
        <v>98</v>
      </c>
      <c r="B22" s="337">
        <v>75000</v>
      </c>
      <c r="C22" s="338">
        <v>562260</v>
      </c>
      <c r="D22" s="338"/>
      <c r="E22" s="339">
        <f t="shared" si="15"/>
        <v>637260</v>
      </c>
      <c r="F22" s="347">
        <f>'[6]2018 - 2020 Budget'!G$22</f>
        <v>75000</v>
      </c>
      <c r="G22" s="347">
        <f>'[6]2018 - 2020 Budget'!H$22</f>
        <v>573600</v>
      </c>
      <c r="H22" s="347">
        <f>'[6]2018 - 2020 Budget'!I$22</f>
        <v>0</v>
      </c>
      <c r="I22" s="347">
        <f>'[6]2018 - 2020 Budget'!J$22</f>
        <v>648600</v>
      </c>
      <c r="J22" s="350">
        <f>'Acuerdo de París y ODS'!C35</f>
        <v>75000</v>
      </c>
      <c r="K22" s="350">
        <f>'Acuerdo de París y ODS'!D35</f>
        <v>963946.95500000007</v>
      </c>
      <c r="L22" s="350">
        <f>'Acuerdo de París y ODS'!E35</f>
        <v>0</v>
      </c>
      <c r="M22" s="350">
        <f t="shared" si="6"/>
        <v>1038946.9550000001</v>
      </c>
      <c r="N22" s="347">
        <v>75000</v>
      </c>
      <c r="O22" s="348">
        <v>596280</v>
      </c>
      <c r="P22" s="348"/>
      <c r="Q22" s="349">
        <f t="shared" si="16"/>
        <v>671280</v>
      </c>
      <c r="R22" s="366">
        <f t="shared" si="8"/>
        <v>2347486.9550000001</v>
      </c>
      <c r="S22" s="332">
        <f t="shared" si="2"/>
        <v>0</v>
      </c>
      <c r="T22" s="332">
        <f t="shared" si="10"/>
        <v>390346.95500000007</v>
      </c>
      <c r="U22" s="332">
        <f t="shared" si="11"/>
        <v>0</v>
      </c>
      <c r="V22" s="332">
        <f t="shared" si="4"/>
        <v>390346.95500000007</v>
      </c>
    </row>
    <row r="23" spans="1:22" ht="20.149999999999999" customHeight="1" x14ac:dyDescent="0.3">
      <c r="A23" s="354" t="s">
        <v>93</v>
      </c>
      <c r="B23" s="337"/>
      <c r="C23" s="338">
        <v>430200</v>
      </c>
      <c r="D23" s="338"/>
      <c r="E23" s="339">
        <f t="shared" si="15"/>
        <v>430200</v>
      </c>
      <c r="F23" s="347">
        <f>'[6]2018 - 2020 Budget'!G$23</f>
        <v>0</v>
      </c>
      <c r="G23" s="347">
        <f>'[6]2018 - 2020 Budget'!H$23</f>
        <v>430200</v>
      </c>
      <c r="H23" s="347">
        <f>'[6]2018 - 2020 Budget'!I$23</f>
        <v>0</v>
      </c>
      <c r="I23" s="347">
        <f>'[6]2018 - 2020 Budget'!J$23</f>
        <v>430200</v>
      </c>
      <c r="J23" s="350">
        <f>'Mecanismo de financ. REDD+ '!C26</f>
        <v>0</v>
      </c>
      <c r="K23" s="350">
        <f>'Mecanismo de financ. REDD+ '!D26</f>
        <v>747710</v>
      </c>
      <c r="L23" s="350">
        <f>'Mecanismo de financ. REDD+ '!E26</f>
        <v>0</v>
      </c>
      <c r="M23" s="350">
        <f t="shared" si="6"/>
        <v>747710</v>
      </c>
      <c r="N23" s="347"/>
      <c r="O23" s="348">
        <v>441540</v>
      </c>
      <c r="P23" s="348"/>
      <c r="Q23" s="349">
        <f t="shared" si="16"/>
        <v>441540</v>
      </c>
      <c r="R23" s="366">
        <f t="shared" si="8"/>
        <v>1619450</v>
      </c>
      <c r="S23" s="332">
        <f t="shared" si="2"/>
        <v>0</v>
      </c>
      <c r="T23" s="332">
        <f t="shared" si="10"/>
        <v>317510</v>
      </c>
      <c r="U23" s="332">
        <f t="shared" si="11"/>
        <v>0</v>
      </c>
      <c r="V23" s="332">
        <f t="shared" si="4"/>
        <v>317510</v>
      </c>
    </row>
    <row r="24" spans="1:22" ht="20.149999999999999" customHeight="1" x14ac:dyDescent="0.3">
      <c r="A24" s="354" t="s">
        <v>94</v>
      </c>
      <c r="B24" s="337">
        <v>0</v>
      </c>
      <c r="C24" s="338"/>
      <c r="D24" s="338">
        <v>1309000</v>
      </c>
      <c r="E24" s="339">
        <f t="shared" si="15"/>
        <v>1309000</v>
      </c>
      <c r="F24" s="347">
        <f>'[6]2018 - 2020 Budget'!C$24</f>
        <v>0</v>
      </c>
      <c r="G24" s="347">
        <f>'[6]2018 - 2020 Budget'!D$24</f>
        <v>0</v>
      </c>
      <c r="H24" s="347">
        <f>'[6]2018 - 2020 Budget'!E$24</f>
        <v>1309000</v>
      </c>
      <c r="I24" s="347">
        <f>'[6]2018 - 2020 Budget'!F$24</f>
        <v>1309000</v>
      </c>
      <c r="J24" s="350">
        <f>'Temas transversales y comunica.'!C33</f>
        <v>0</v>
      </c>
      <c r="K24" s="350">
        <f>'Temas transversales y comunica.'!D33</f>
        <v>0</v>
      </c>
      <c r="L24" s="350">
        <f>'Temas transversales y comunica.'!E33</f>
        <v>1309000</v>
      </c>
      <c r="M24" s="350">
        <f t="shared" si="6"/>
        <v>1309000</v>
      </c>
      <c r="N24" s="347">
        <f>'[6]2018 - 2020 Budget'!K$24</f>
        <v>0</v>
      </c>
      <c r="O24" s="347">
        <f>'[6]2018 - 2020 Budget'!L$24</f>
        <v>0</v>
      </c>
      <c r="P24" s="347">
        <f>'[6]2018 - 2020 Budget'!M$24</f>
        <v>1309000</v>
      </c>
      <c r="Q24" s="347">
        <f>'[6]2018 - 2020 Budget'!N$24</f>
        <v>1309000</v>
      </c>
      <c r="R24" s="347">
        <f>'[6]2018 - 2020 Budget'!O$24</f>
        <v>3927000</v>
      </c>
      <c r="S24" s="332">
        <f t="shared" si="2"/>
        <v>0</v>
      </c>
      <c r="T24" s="332">
        <f t="shared" si="10"/>
        <v>0</v>
      </c>
      <c r="U24" s="332">
        <f t="shared" si="11"/>
        <v>0</v>
      </c>
      <c r="V24" s="332">
        <f t="shared" si="4"/>
        <v>0</v>
      </c>
    </row>
    <row r="25" spans="1:22" ht="20.149999999999999" customHeight="1" x14ac:dyDescent="0.3">
      <c r="A25" s="340" t="s">
        <v>79</v>
      </c>
      <c r="B25" s="341">
        <f>B17+B13+B9+B5</f>
        <v>2805896</v>
      </c>
      <c r="C25" s="342">
        <f>C17+C13+C9+C5</f>
        <v>3379740</v>
      </c>
      <c r="D25" s="342">
        <f>D17+D13+D9+D5</f>
        <v>2527924</v>
      </c>
      <c r="E25" s="343">
        <f>E17+E13+E9+E5</f>
        <v>8713560</v>
      </c>
      <c r="F25" s="341">
        <f t="shared" ref="F25:R25" si="17">F17+F4</f>
        <v>2805896</v>
      </c>
      <c r="G25" s="341">
        <f t="shared" si="17"/>
        <v>3398580</v>
      </c>
      <c r="H25" s="341">
        <f t="shared" si="17"/>
        <v>2527924</v>
      </c>
      <c r="I25" s="341">
        <f t="shared" si="17"/>
        <v>8732400</v>
      </c>
      <c r="J25" s="344">
        <f t="shared" si="17"/>
        <v>2805895.672527452</v>
      </c>
      <c r="K25" s="344">
        <f t="shared" si="17"/>
        <v>4153579.6850000005</v>
      </c>
      <c r="L25" s="344">
        <f t="shared" si="17"/>
        <v>2527924.2000000002</v>
      </c>
      <c r="M25" s="344">
        <f t="shared" si="17"/>
        <v>9487399.5575274527</v>
      </c>
      <c r="N25" s="341">
        <f t="shared" si="17"/>
        <v>6863227</v>
      </c>
      <c r="O25" s="341">
        <f t="shared" si="17"/>
        <v>2865340</v>
      </c>
      <c r="P25" s="341">
        <f t="shared" si="17"/>
        <v>2060924</v>
      </c>
      <c r="Q25" s="341">
        <f t="shared" si="17"/>
        <v>7200013</v>
      </c>
      <c r="R25" s="341">
        <f t="shared" si="17"/>
        <v>22321662.47960455</v>
      </c>
      <c r="S25" s="345">
        <f t="shared" si="2"/>
        <v>-0.32747254800051451</v>
      </c>
      <c r="T25" s="345">
        <f>K25-G25</f>
        <v>754999.68500000052</v>
      </c>
      <c r="U25" s="345">
        <f>L25-H25</f>
        <v>0.20000000018626451</v>
      </c>
      <c r="V25" s="345">
        <f t="shared" si="4"/>
        <v>754999.55752745271</v>
      </c>
    </row>
    <row r="26" spans="1:22" ht="20.149999999999999" customHeight="1" x14ac:dyDescent="0.3">
      <c r="A26" s="346" t="s">
        <v>97</v>
      </c>
      <c r="B26" s="347">
        <f t="shared" ref="B26:I26" si="18">B25*0.07</f>
        <v>196412.72000000003</v>
      </c>
      <c r="C26" s="348">
        <f t="shared" si="18"/>
        <v>236581.80000000002</v>
      </c>
      <c r="D26" s="348">
        <f t="shared" si="18"/>
        <v>176954.68000000002</v>
      </c>
      <c r="E26" s="349">
        <f t="shared" si="18"/>
        <v>609949.20000000007</v>
      </c>
      <c r="F26" s="347">
        <f t="shared" si="18"/>
        <v>196412.72000000003</v>
      </c>
      <c r="G26" s="347">
        <f t="shared" si="18"/>
        <v>237900.60000000003</v>
      </c>
      <c r="H26" s="347">
        <f t="shared" si="18"/>
        <v>176954.68000000002</v>
      </c>
      <c r="I26" s="347">
        <f t="shared" si="18"/>
        <v>611268</v>
      </c>
      <c r="J26" s="350">
        <f t="shared" ref="J26:R26" si="19">J25*0.07</f>
        <v>196412.69707692167</v>
      </c>
      <c r="K26" s="350">
        <f t="shared" si="19"/>
        <v>290750.57795000006</v>
      </c>
      <c r="L26" s="350">
        <f t="shared" si="19"/>
        <v>176954.69400000002</v>
      </c>
      <c r="M26" s="350">
        <f t="shared" si="19"/>
        <v>664117.96902692178</v>
      </c>
      <c r="N26" s="347">
        <f t="shared" si="19"/>
        <v>480425.89000000007</v>
      </c>
      <c r="O26" s="347">
        <f t="shared" si="19"/>
        <v>200573.80000000002</v>
      </c>
      <c r="P26" s="347">
        <f t="shared" si="19"/>
        <v>144264.68000000002</v>
      </c>
      <c r="Q26" s="347">
        <f t="shared" si="19"/>
        <v>504000.91000000003</v>
      </c>
      <c r="R26" s="347">
        <f t="shared" si="19"/>
        <v>1562516.3735723186</v>
      </c>
      <c r="S26" s="332">
        <f t="shared" si="2"/>
        <v>-2.2923078358871862E-2</v>
      </c>
      <c r="T26" s="332">
        <f t="shared" si="10"/>
        <v>52849.97795000003</v>
      </c>
      <c r="U26" s="332">
        <f t="shared" si="11"/>
        <v>1.3999999995576218E-2</v>
      </c>
      <c r="V26" s="332">
        <f t="shared" si="4"/>
        <v>52849.969026921783</v>
      </c>
    </row>
    <row r="27" spans="1:22" ht="20.149999999999999" customHeight="1" x14ac:dyDescent="0.3">
      <c r="A27" s="340" t="s">
        <v>28</v>
      </c>
      <c r="B27" s="341">
        <f>SUM(B25:B26)</f>
        <v>3002308.72</v>
      </c>
      <c r="C27" s="342">
        <f>SUM(C25:C26)</f>
        <v>3616321.8</v>
      </c>
      <c r="D27" s="342">
        <f>SUM(D25:D26)</f>
        <v>2704878.68</v>
      </c>
      <c r="E27" s="351">
        <f>SUM(E25:E26)</f>
        <v>9323509.1999999993</v>
      </c>
      <c r="F27" s="352">
        <f>F25+F26</f>
        <v>3002308.72</v>
      </c>
      <c r="G27" s="352">
        <f t="shared" ref="G27:L27" si="20">G25+G26</f>
        <v>3636480.6</v>
      </c>
      <c r="H27" s="352">
        <f t="shared" si="20"/>
        <v>2704878.68</v>
      </c>
      <c r="I27" s="352">
        <f t="shared" si="20"/>
        <v>9343668</v>
      </c>
      <c r="J27" s="344">
        <f t="shared" si="20"/>
        <v>3002308.3696043738</v>
      </c>
      <c r="K27" s="344">
        <f t="shared" si="20"/>
        <v>4444330.2629500004</v>
      </c>
      <c r="L27" s="344">
        <f t="shared" si="20"/>
        <v>2704878.8940000003</v>
      </c>
      <c r="M27" s="344">
        <f t="shared" ref="M27:R27" si="21">M25+M26</f>
        <v>10151517.526554374</v>
      </c>
      <c r="N27" s="352">
        <f t="shared" si="21"/>
        <v>7343652.8899999997</v>
      </c>
      <c r="O27" s="352">
        <f t="shared" si="21"/>
        <v>3065913.8</v>
      </c>
      <c r="P27" s="352">
        <f t="shared" si="21"/>
        <v>2205188.6800000002</v>
      </c>
      <c r="Q27" s="352">
        <f t="shared" si="21"/>
        <v>7704013.9100000001</v>
      </c>
      <c r="R27" s="352">
        <f t="shared" si="21"/>
        <v>23884178.853176869</v>
      </c>
      <c r="S27" s="345">
        <f t="shared" si="2"/>
        <v>-0.3503956263884902</v>
      </c>
      <c r="T27" s="345">
        <f t="shared" si="10"/>
        <v>807849.66295000026</v>
      </c>
      <c r="U27" s="345">
        <f t="shared" si="11"/>
        <v>0.2140000001527369</v>
      </c>
      <c r="V27" s="345">
        <f t="shared" si="4"/>
        <v>807849.52655437402</v>
      </c>
    </row>
  </sheetData>
  <mergeCells count="8">
    <mergeCell ref="A1:W1"/>
    <mergeCell ref="A2:A3"/>
    <mergeCell ref="B2:E2"/>
    <mergeCell ref="F2:I2"/>
    <mergeCell ref="J2:M2"/>
    <mergeCell ref="N2:Q2"/>
    <mergeCell ref="R2:R3"/>
    <mergeCell ref="S2:V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79"/>
  <sheetViews>
    <sheetView showGridLines="0" zoomScaleNormal="100" workbookViewId="0">
      <selection activeCell="B3" sqref="B3"/>
    </sheetView>
  </sheetViews>
  <sheetFormatPr defaultColWidth="9.1796875" defaultRowHeight="12" x14ac:dyDescent="0.3"/>
  <cols>
    <col min="1" max="1" width="2.1796875" style="177" customWidth="1"/>
    <col min="2" max="2" width="47.54296875" style="206" customWidth="1"/>
    <col min="3" max="3" width="80.81640625" style="206" customWidth="1"/>
    <col min="4" max="4" width="14.7265625" style="206" customWidth="1"/>
    <col min="5" max="5" width="30.1796875" style="206" customWidth="1"/>
    <col min="6" max="6" width="12.81640625" style="206" customWidth="1"/>
    <col min="7" max="7" width="19.81640625" style="177" customWidth="1"/>
    <col min="8" max="16384" width="9.1796875" style="177"/>
  </cols>
  <sheetData>
    <row r="3" spans="2:6" x14ac:dyDescent="0.3">
      <c r="B3" s="137" t="s">
        <v>131</v>
      </c>
      <c r="C3" s="137"/>
      <c r="D3" s="137"/>
      <c r="E3" s="137"/>
      <c r="F3" s="138"/>
    </row>
    <row r="4" spans="2:6" ht="30.75" customHeight="1" x14ac:dyDescent="0.3">
      <c r="B4" s="576" t="s">
        <v>143</v>
      </c>
      <c r="C4" s="577"/>
      <c r="D4" s="577"/>
      <c r="E4" s="577"/>
      <c r="F4" s="578"/>
    </row>
    <row r="5" spans="2:6" x14ac:dyDescent="0.3">
      <c r="B5" s="579" t="s">
        <v>102</v>
      </c>
      <c r="C5" s="581" t="s">
        <v>103</v>
      </c>
      <c r="D5" s="581" t="s">
        <v>104</v>
      </c>
      <c r="E5" s="583" t="s">
        <v>105</v>
      </c>
      <c r="F5" s="583"/>
    </row>
    <row r="6" spans="2:6" x14ac:dyDescent="0.3">
      <c r="B6" s="580"/>
      <c r="C6" s="582"/>
      <c r="D6" s="582"/>
      <c r="E6" s="165" t="s">
        <v>106</v>
      </c>
      <c r="F6" s="165" t="s">
        <v>107</v>
      </c>
    </row>
    <row r="7" spans="2:6" ht="36" x14ac:dyDescent="0.3">
      <c r="B7" s="554" t="s">
        <v>113</v>
      </c>
      <c r="C7" s="175" t="s">
        <v>186</v>
      </c>
      <c r="D7" s="565" t="s">
        <v>2</v>
      </c>
      <c r="E7" s="568" t="s">
        <v>67</v>
      </c>
      <c r="F7" s="570">
        <v>125782.74768690798</v>
      </c>
    </row>
    <row r="8" spans="2:6" ht="24" x14ac:dyDescent="0.3">
      <c r="B8" s="555"/>
      <c r="C8" s="175" t="s">
        <v>117</v>
      </c>
      <c r="D8" s="566"/>
      <c r="E8" s="569"/>
      <c r="F8" s="572"/>
    </row>
    <row r="9" spans="2:6" ht="24" x14ac:dyDescent="0.3">
      <c r="B9" s="555"/>
      <c r="C9" s="175" t="s">
        <v>118</v>
      </c>
      <c r="D9" s="566"/>
      <c r="E9" s="573" t="s">
        <v>71</v>
      </c>
      <c r="F9" s="570">
        <v>9091.5460405469148</v>
      </c>
    </row>
    <row r="10" spans="2:6" ht="24" x14ac:dyDescent="0.3">
      <c r="B10" s="555"/>
      <c r="C10" s="175" t="s">
        <v>119</v>
      </c>
      <c r="D10" s="566"/>
      <c r="E10" s="574"/>
      <c r="F10" s="571"/>
    </row>
    <row r="11" spans="2:6" ht="21" customHeight="1" x14ac:dyDescent="0.3">
      <c r="B11" s="555"/>
      <c r="C11" s="175" t="s">
        <v>238</v>
      </c>
      <c r="D11" s="566"/>
      <c r="E11" s="574"/>
      <c r="F11" s="571"/>
    </row>
    <row r="12" spans="2:6" ht="17.25" customHeight="1" x14ac:dyDescent="0.3">
      <c r="B12" s="555"/>
      <c r="C12" s="568" t="s">
        <v>120</v>
      </c>
      <c r="D12" s="566"/>
      <c r="E12" s="575"/>
      <c r="F12" s="572"/>
    </row>
    <row r="13" spans="2:6" ht="30.75" customHeight="1" x14ac:dyDescent="0.3">
      <c r="B13" s="556"/>
      <c r="C13" s="569"/>
      <c r="D13" s="567"/>
      <c r="E13" s="498" t="s">
        <v>73</v>
      </c>
      <c r="F13" s="178">
        <v>13131.87071234314</v>
      </c>
    </row>
    <row r="14" spans="2:6" x14ac:dyDescent="0.2">
      <c r="B14" s="247" t="s">
        <v>183</v>
      </c>
      <c r="C14" s="247"/>
      <c r="D14" s="247"/>
      <c r="E14" s="271"/>
      <c r="F14" s="247">
        <f>SUM(F7:F13)</f>
        <v>148006.16443979804</v>
      </c>
    </row>
    <row r="15" spans="2:6" ht="42.75" customHeight="1" x14ac:dyDescent="0.3">
      <c r="B15" s="559" t="s">
        <v>187</v>
      </c>
      <c r="C15" s="131" t="s">
        <v>121</v>
      </c>
      <c r="D15" s="557" t="s">
        <v>65</v>
      </c>
      <c r="E15" s="562" t="s">
        <v>67</v>
      </c>
      <c r="F15" s="584">
        <v>148161</v>
      </c>
    </row>
    <row r="16" spans="2:6" ht="27" customHeight="1" x14ac:dyDescent="0.3">
      <c r="B16" s="560"/>
      <c r="C16" s="131" t="s">
        <v>188</v>
      </c>
      <c r="D16" s="557"/>
      <c r="E16" s="564"/>
      <c r="F16" s="585"/>
    </row>
    <row r="17" spans="2:6" ht="28.5" customHeight="1" x14ac:dyDescent="0.3">
      <c r="B17" s="560"/>
      <c r="C17" s="131" t="s">
        <v>122</v>
      </c>
      <c r="D17" s="557"/>
      <c r="E17" s="133" t="s">
        <v>71</v>
      </c>
      <c r="F17" s="148">
        <v>18000</v>
      </c>
    </row>
    <row r="18" spans="2:6" ht="30.75" customHeight="1" x14ac:dyDescent="0.3">
      <c r="B18" s="561"/>
      <c r="C18" s="131" t="s">
        <v>123</v>
      </c>
      <c r="D18" s="558"/>
      <c r="E18" s="495" t="s">
        <v>73</v>
      </c>
      <c r="F18" s="148">
        <v>14017</v>
      </c>
    </row>
    <row r="19" spans="2:6" x14ac:dyDescent="0.3">
      <c r="B19" s="310" t="s">
        <v>183</v>
      </c>
      <c r="C19" s="151"/>
      <c r="D19" s="114"/>
      <c r="E19" s="145"/>
      <c r="F19" s="228">
        <f>SUM(F15:F18)</f>
        <v>180178</v>
      </c>
    </row>
    <row r="20" spans="2:6" ht="24" x14ac:dyDescent="0.3">
      <c r="B20" s="554" t="s">
        <v>114</v>
      </c>
      <c r="C20" s="170" t="s">
        <v>189</v>
      </c>
      <c r="D20" s="565" t="s">
        <v>2</v>
      </c>
      <c r="E20" s="493" t="s">
        <v>67</v>
      </c>
      <c r="F20" s="229">
        <v>67729.171831411993</v>
      </c>
    </row>
    <row r="21" spans="2:6" ht="36" customHeight="1" x14ac:dyDescent="0.3">
      <c r="B21" s="555"/>
      <c r="C21" s="568" t="s">
        <v>190</v>
      </c>
      <c r="D21" s="566"/>
      <c r="E21" s="143" t="s">
        <v>71</v>
      </c>
      <c r="F21" s="178">
        <v>4895.4478679867998</v>
      </c>
    </row>
    <row r="22" spans="2:6" ht="24" x14ac:dyDescent="0.3">
      <c r="B22" s="555"/>
      <c r="C22" s="569"/>
      <c r="D22" s="567"/>
      <c r="E22" s="494" t="s">
        <v>73</v>
      </c>
      <c r="F22" s="178">
        <v>7071.0073066463056</v>
      </c>
    </row>
    <row r="23" spans="2:6" x14ac:dyDescent="0.3">
      <c r="B23" s="555"/>
      <c r="C23" s="482"/>
      <c r="D23" s="483"/>
      <c r="E23" s="271" t="s">
        <v>183</v>
      </c>
      <c r="F23" s="247">
        <f>SUM(F20:F22)</f>
        <v>79695.627006045106</v>
      </c>
    </row>
    <row r="24" spans="2:6" ht="14.5" customHeight="1" x14ac:dyDescent="0.3">
      <c r="B24" s="555"/>
      <c r="C24" s="562" t="s">
        <v>124</v>
      </c>
      <c r="D24" s="604" t="s">
        <v>65</v>
      </c>
      <c r="E24" s="503" t="s">
        <v>67</v>
      </c>
      <c r="F24" s="158">
        <v>29633</v>
      </c>
    </row>
    <row r="25" spans="2:6" x14ac:dyDescent="0.3">
      <c r="B25" s="555"/>
      <c r="C25" s="563"/>
      <c r="D25" s="604"/>
      <c r="E25" s="133" t="s">
        <v>71</v>
      </c>
      <c r="F25" s="158">
        <v>3600</v>
      </c>
    </row>
    <row r="26" spans="2:6" ht="24" x14ac:dyDescent="0.3">
      <c r="B26" s="555"/>
      <c r="C26" s="564"/>
      <c r="D26" s="604"/>
      <c r="E26" s="495" t="s">
        <v>73</v>
      </c>
      <c r="F26" s="256">
        <v>2805</v>
      </c>
    </row>
    <row r="27" spans="2:6" x14ac:dyDescent="0.3">
      <c r="B27" s="478"/>
      <c r="C27" s="482"/>
      <c r="D27" s="482"/>
      <c r="E27" s="271" t="s">
        <v>38</v>
      </c>
      <c r="F27" s="271">
        <f>SUM(F24:F26)</f>
        <v>36038</v>
      </c>
    </row>
    <row r="28" spans="2:6" x14ac:dyDescent="0.3">
      <c r="B28" s="310" t="s">
        <v>183</v>
      </c>
      <c r="C28" s="310"/>
      <c r="D28" s="310"/>
      <c r="E28" s="310"/>
      <c r="F28" s="310">
        <f>SUM(F27,F23)</f>
        <v>115733.62700604511</v>
      </c>
    </row>
    <row r="29" spans="2:6" ht="36" x14ac:dyDescent="0.3">
      <c r="B29" s="598" t="s">
        <v>115</v>
      </c>
      <c r="C29" s="160" t="s">
        <v>125</v>
      </c>
      <c r="D29" s="590" t="s">
        <v>66</v>
      </c>
      <c r="E29" s="116" t="s">
        <v>67</v>
      </c>
      <c r="F29" s="154">
        <v>21205.200000000001</v>
      </c>
    </row>
    <row r="30" spans="2:6" ht="34" customHeight="1" x14ac:dyDescent="0.3">
      <c r="B30" s="603"/>
      <c r="C30" s="161" t="s">
        <v>126</v>
      </c>
      <c r="D30" s="591"/>
      <c r="E30" s="596" t="s">
        <v>71</v>
      </c>
      <c r="F30" s="594">
        <v>2356</v>
      </c>
    </row>
    <row r="31" spans="2:6" ht="14.5" customHeight="1" x14ac:dyDescent="0.3">
      <c r="B31" s="603"/>
      <c r="C31" s="598" t="s">
        <v>127</v>
      </c>
      <c r="D31" s="591"/>
      <c r="E31" s="597"/>
      <c r="F31" s="595"/>
    </row>
    <row r="32" spans="2:6" ht="24" x14ac:dyDescent="0.3">
      <c r="B32" s="603"/>
      <c r="C32" s="599"/>
      <c r="D32" s="592"/>
      <c r="E32" s="116" t="s">
        <v>73</v>
      </c>
      <c r="F32" s="153">
        <v>0</v>
      </c>
    </row>
    <row r="33" spans="2:6" x14ac:dyDescent="0.3">
      <c r="B33" s="603"/>
      <c r="C33" s="482"/>
      <c r="D33" s="482"/>
      <c r="E33" s="271" t="s">
        <v>183</v>
      </c>
      <c r="F33" s="271">
        <f>SUM(F29:F32)</f>
        <v>23561.200000000001</v>
      </c>
    </row>
    <row r="34" spans="2:6" ht="24" customHeight="1" x14ac:dyDescent="0.3">
      <c r="B34" s="603"/>
      <c r="C34" s="586" t="s">
        <v>128</v>
      </c>
      <c r="D34" s="600" t="s">
        <v>65</v>
      </c>
      <c r="E34" s="495" t="s">
        <v>67</v>
      </c>
      <c r="F34" s="158">
        <v>19755</v>
      </c>
    </row>
    <row r="35" spans="2:6" x14ac:dyDescent="0.3">
      <c r="B35" s="603"/>
      <c r="C35" s="587"/>
      <c r="D35" s="601"/>
      <c r="E35" s="480" t="s">
        <v>71</v>
      </c>
      <c r="F35" s="158">
        <v>2400</v>
      </c>
    </row>
    <row r="36" spans="2:6" ht="24" x14ac:dyDescent="0.3">
      <c r="B36" s="603"/>
      <c r="C36" s="588"/>
      <c r="D36" s="602"/>
      <c r="E36" s="495" t="s">
        <v>73</v>
      </c>
      <c r="F36" s="158">
        <v>1870</v>
      </c>
    </row>
    <row r="37" spans="2:6" x14ac:dyDescent="0.3">
      <c r="B37" s="599"/>
      <c r="C37" s="482"/>
      <c r="D37" s="482"/>
      <c r="E37" s="482"/>
      <c r="F37" s="484">
        <f>SUM(F34:F36)</f>
        <v>24025</v>
      </c>
    </row>
    <row r="38" spans="2:6" x14ac:dyDescent="0.3">
      <c r="B38" s="310" t="s">
        <v>183</v>
      </c>
      <c r="C38" s="310"/>
      <c r="D38" s="310"/>
      <c r="E38" s="310"/>
      <c r="F38" s="310">
        <f>SUM(F37,F33)</f>
        <v>47586.2</v>
      </c>
    </row>
    <row r="39" spans="2:6" ht="24" x14ac:dyDescent="0.3">
      <c r="B39" s="593" t="s">
        <v>116</v>
      </c>
      <c r="C39" s="122" t="s">
        <v>237</v>
      </c>
      <c r="D39" s="590" t="s">
        <v>66</v>
      </c>
      <c r="E39" s="116" t="s">
        <v>67</v>
      </c>
      <c r="F39" s="154">
        <v>31807.8</v>
      </c>
    </row>
    <row r="40" spans="2:6" x14ac:dyDescent="0.3">
      <c r="B40" s="593"/>
      <c r="C40" s="122" t="s">
        <v>129</v>
      </c>
      <c r="D40" s="591"/>
      <c r="E40" s="115" t="s">
        <v>71</v>
      </c>
      <c r="F40" s="154">
        <v>3534.2000000000003</v>
      </c>
    </row>
    <row r="41" spans="2:6" ht="24" x14ac:dyDescent="0.3">
      <c r="B41" s="593"/>
      <c r="C41" s="122" t="s">
        <v>130</v>
      </c>
      <c r="D41" s="592"/>
      <c r="E41" s="116" t="s">
        <v>73</v>
      </c>
      <c r="F41" s="154">
        <v>0</v>
      </c>
    </row>
    <row r="42" spans="2:6" x14ac:dyDescent="0.3">
      <c r="B42" s="310" t="s">
        <v>183</v>
      </c>
      <c r="C42" s="47"/>
      <c r="D42" s="47"/>
      <c r="E42" s="156"/>
      <c r="F42" s="230">
        <f>SUM(F39:F41)</f>
        <v>35342</v>
      </c>
    </row>
    <row r="43" spans="2:6" x14ac:dyDescent="0.3">
      <c r="B43" s="194" t="s">
        <v>79</v>
      </c>
      <c r="C43" s="187"/>
      <c r="D43" s="187"/>
      <c r="E43" s="187"/>
      <c r="F43" s="272">
        <f>F42+F38+F14+F28+F19</f>
        <v>526845.99144584313</v>
      </c>
    </row>
    <row r="44" spans="2:6" x14ac:dyDescent="0.3">
      <c r="B44" s="191" t="s">
        <v>111</v>
      </c>
      <c r="C44" s="191"/>
      <c r="D44" s="191"/>
      <c r="E44" s="191"/>
      <c r="F44" s="231">
        <f>0.07*F43</f>
        <v>36879.219401209026</v>
      </c>
    </row>
    <row r="45" spans="2:6" x14ac:dyDescent="0.3">
      <c r="B45" s="194" t="s">
        <v>77</v>
      </c>
      <c r="C45" s="187"/>
      <c r="D45" s="187"/>
      <c r="E45" s="187"/>
      <c r="F45" s="272">
        <f>F44+F43</f>
        <v>563725.21084705216</v>
      </c>
    </row>
    <row r="49" spans="2:7" x14ac:dyDescent="0.3">
      <c r="B49" s="195" t="s">
        <v>108</v>
      </c>
      <c r="C49" s="195" t="s">
        <v>2</v>
      </c>
      <c r="D49" s="195" t="s">
        <v>65</v>
      </c>
      <c r="E49" s="195" t="s">
        <v>66</v>
      </c>
      <c r="F49" s="195" t="s">
        <v>1</v>
      </c>
    </row>
    <row r="50" spans="2:7" x14ac:dyDescent="0.3">
      <c r="B50" s="141" t="s">
        <v>67</v>
      </c>
      <c r="C50" s="197">
        <f>F20+F7</f>
        <v>193511.91951831998</v>
      </c>
      <c r="D50" s="198">
        <f>F15+F24+F34</f>
        <v>197549</v>
      </c>
      <c r="E50" s="232">
        <f>F29+F39</f>
        <v>53013</v>
      </c>
      <c r="F50" s="200">
        <f>E50+D50+C50</f>
        <v>444073.91951832001</v>
      </c>
    </row>
    <row r="51" spans="2:7" x14ac:dyDescent="0.3">
      <c r="B51" s="141" t="s">
        <v>71</v>
      </c>
      <c r="C51" s="197">
        <f>F9+F21</f>
        <v>13986.993908533714</v>
      </c>
      <c r="D51" s="198">
        <f>F17+F25+F35</f>
        <v>24000</v>
      </c>
      <c r="E51" s="232">
        <f>F30+F40</f>
        <v>5890.2000000000007</v>
      </c>
      <c r="F51" s="200">
        <f>E51+D51+C51</f>
        <v>43877.193908533714</v>
      </c>
    </row>
    <row r="52" spans="2:7" x14ac:dyDescent="0.3">
      <c r="B52" s="142" t="s">
        <v>73</v>
      </c>
      <c r="C52" s="197">
        <f>F13+F22</f>
        <v>20202.878018989446</v>
      </c>
      <c r="D52" s="198">
        <f>F18+F26+F36</f>
        <v>18692</v>
      </c>
      <c r="E52" s="232">
        <f>F32+F41</f>
        <v>0</v>
      </c>
      <c r="F52" s="200">
        <f>E52+D52+C52</f>
        <v>38894.878018989446</v>
      </c>
    </row>
    <row r="53" spans="2:7" x14ac:dyDescent="0.3">
      <c r="B53" s="201" t="s">
        <v>79</v>
      </c>
      <c r="C53" s="202">
        <f>SUM(C50:C52)</f>
        <v>227701.79144584312</v>
      </c>
      <c r="D53" s="233">
        <f>SUM(D50:D52)</f>
        <v>240241</v>
      </c>
      <c r="E53" s="202">
        <f>SUM(E50:E52)</f>
        <v>58903.199999999997</v>
      </c>
      <c r="F53" s="202">
        <f>SUM(F50:F52)</f>
        <v>526845.99144584313</v>
      </c>
      <c r="G53" s="234">
        <f>C79+C68</f>
        <v>526845.99144584313</v>
      </c>
    </row>
    <row r="54" spans="2:7" x14ac:dyDescent="0.3">
      <c r="B54" s="191" t="s">
        <v>109</v>
      </c>
      <c r="C54" s="221">
        <v>15939.125401209019</v>
      </c>
      <c r="D54" s="198">
        <f>D53*0.07</f>
        <v>16816.870000000003</v>
      </c>
      <c r="E54" s="232">
        <f>E53*0.07</f>
        <v>4123.2240000000002</v>
      </c>
      <c r="F54" s="200">
        <f>F53*0.07</f>
        <v>36879.219401209026</v>
      </c>
    </row>
    <row r="55" spans="2:7" x14ac:dyDescent="0.3">
      <c r="B55" s="210" t="s">
        <v>1</v>
      </c>
      <c r="C55" s="235">
        <v>243640.91684705214</v>
      </c>
      <c r="D55" s="455">
        <f>D54+D53</f>
        <v>257057.87</v>
      </c>
      <c r="E55" s="249">
        <f>E54+E53</f>
        <v>63026.423999999999</v>
      </c>
      <c r="F55" s="211">
        <f>F54+F53</f>
        <v>563725.21084705216</v>
      </c>
    </row>
    <row r="57" spans="2:7" ht="12.5" thickBot="1" x14ac:dyDescent="0.35">
      <c r="B57" s="213" t="s">
        <v>112</v>
      </c>
      <c r="C57" s="214">
        <f>'Comparativo 2019'!F14</f>
        <v>227702</v>
      </c>
      <c r="D57" s="214">
        <f>'Comparativo 2019'!G14</f>
        <v>244300</v>
      </c>
      <c r="E57" s="214">
        <f>'Comparativo 2019'!H14</f>
        <v>58903</v>
      </c>
      <c r="F57" s="214">
        <f>'Comparativo 2019'!I14</f>
        <v>530905</v>
      </c>
    </row>
    <row r="58" spans="2:7" ht="12.5" thickTop="1" x14ac:dyDescent="0.3">
      <c r="B58" s="236"/>
      <c r="C58" s="236"/>
      <c r="D58" s="236"/>
      <c r="E58" s="236"/>
      <c r="F58" s="236"/>
    </row>
    <row r="59" spans="2:7" x14ac:dyDescent="0.3">
      <c r="B59" s="589" t="s">
        <v>254</v>
      </c>
      <c r="C59" s="589"/>
      <c r="D59" s="589"/>
      <c r="E59" s="589"/>
      <c r="F59" s="589"/>
    </row>
    <row r="60" spans="2:7" x14ac:dyDescent="0.3">
      <c r="B60" s="216" t="s">
        <v>110</v>
      </c>
      <c r="C60" s="217" t="s">
        <v>60</v>
      </c>
      <c r="D60" s="218" t="s">
        <v>2</v>
      </c>
      <c r="E60" s="237" t="s">
        <v>65</v>
      </c>
      <c r="F60" s="218" t="s">
        <v>66</v>
      </c>
    </row>
    <row r="61" spans="2:7" x14ac:dyDescent="0.3">
      <c r="B61" s="191" t="s">
        <v>67</v>
      </c>
      <c r="C61" s="220">
        <f>D61+E61+F61</f>
        <v>0</v>
      </c>
      <c r="D61" s="221"/>
      <c r="E61" s="198"/>
      <c r="F61" s="232"/>
    </row>
    <row r="62" spans="2:7" x14ac:dyDescent="0.3">
      <c r="B62" s="261" t="s">
        <v>68</v>
      </c>
      <c r="C62" s="220">
        <f t="shared" ref="C62:C67" si="0">D62+E62+F62</f>
        <v>0</v>
      </c>
      <c r="D62" s="221"/>
      <c r="E62" s="198"/>
      <c r="F62" s="232"/>
    </row>
    <row r="63" spans="2:7" x14ac:dyDescent="0.3">
      <c r="B63" s="264" t="s">
        <v>69</v>
      </c>
      <c r="C63" s="220">
        <f t="shared" si="0"/>
        <v>0</v>
      </c>
      <c r="D63" s="221"/>
      <c r="E63" s="198"/>
      <c r="F63" s="232"/>
    </row>
    <row r="64" spans="2:7" x14ac:dyDescent="0.3">
      <c r="B64" s="261" t="s">
        <v>70</v>
      </c>
      <c r="C64" s="220">
        <f t="shared" si="0"/>
        <v>0</v>
      </c>
      <c r="D64" s="221"/>
      <c r="E64" s="198"/>
      <c r="F64" s="232"/>
    </row>
    <row r="65" spans="2:6" x14ac:dyDescent="0.3">
      <c r="B65" s="191" t="s">
        <v>71</v>
      </c>
      <c r="C65" s="220">
        <f t="shared" si="0"/>
        <v>0</v>
      </c>
      <c r="D65" s="221"/>
      <c r="E65" s="198"/>
      <c r="F65" s="232"/>
    </row>
    <row r="66" spans="2:6" x14ac:dyDescent="0.3">
      <c r="B66" s="264" t="s">
        <v>72</v>
      </c>
      <c r="C66" s="220">
        <f t="shared" si="0"/>
        <v>0</v>
      </c>
      <c r="D66" s="221"/>
      <c r="E66" s="198"/>
      <c r="F66" s="232"/>
    </row>
    <row r="67" spans="2:6" x14ac:dyDescent="0.3">
      <c r="B67" s="192" t="s">
        <v>73</v>
      </c>
      <c r="C67" s="220">
        <f t="shared" si="0"/>
        <v>0</v>
      </c>
      <c r="D67" s="221"/>
      <c r="E67" s="198"/>
      <c r="F67" s="232"/>
    </row>
    <row r="68" spans="2:6" x14ac:dyDescent="0.3">
      <c r="B68" s="140" t="s">
        <v>183</v>
      </c>
      <c r="C68" s="224">
        <f>SUM(C61:C67)</f>
        <v>0</v>
      </c>
      <c r="D68" s="224">
        <f>SUM(D61:D67)</f>
        <v>0</v>
      </c>
      <c r="E68" s="224">
        <f>SUM(E61:E67)</f>
        <v>0</v>
      </c>
      <c r="F68" s="224">
        <f>SUM(F61:F67)</f>
        <v>0</v>
      </c>
    </row>
    <row r="70" spans="2:6" ht="27" customHeight="1" x14ac:dyDescent="0.3">
      <c r="B70" s="576" t="s">
        <v>101</v>
      </c>
      <c r="C70" s="577"/>
      <c r="D70" s="577"/>
      <c r="E70" s="577"/>
      <c r="F70" s="578"/>
    </row>
    <row r="71" spans="2:6" x14ac:dyDescent="0.3">
      <c r="B71" s="216" t="s">
        <v>110</v>
      </c>
      <c r="C71" s="217" t="s">
        <v>60</v>
      </c>
      <c r="D71" s="218" t="s">
        <v>2</v>
      </c>
      <c r="E71" s="237" t="s">
        <v>65</v>
      </c>
      <c r="F71" s="218" t="s">
        <v>66</v>
      </c>
    </row>
    <row r="72" spans="2:6" x14ac:dyDescent="0.3">
      <c r="B72" s="191" t="s">
        <v>67</v>
      </c>
      <c r="C72" s="220">
        <f>D72+E72+F72</f>
        <v>444073.91951832001</v>
      </c>
      <c r="D72" s="221">
        <f>+C50</f>
        <v>193511.91951831998</v>
      </c>
      <c r="E72" s="198">
        <f>+D50</f>
        <v>197549</v>
      </c>
      <c r="F72" s="232">
        <f>+E50</f>
        <v>53013</v>
      </c>
    </row>
    <row r="73" spans="2:6" x14ac:dyDescent="0.3">
      <c r="B73" s="261" t="s">
        <v>68</v>
      </c>
      <c r="C73" s="220">
        <f t="shared" ref="C73:C78" si="1">D73+E73+F73</f>
        <v>0</v>
      </c>
      <c r="D73" s="221"/>
      <c r="E73" s="198"/>
      <c r="F73" s="232"/>
    </row>
    <row r="74" spans="2:6" x14ac:dyDescent="0.3">
      <c r="B74" s="264" t="s">
        <v>69</v>
      </c>
      <c r="C74" s="220">
        <f t="shared" si="1"/>
        <v>0</v>
      </c>
      <c r="D74" s="221"/>
      <c r="E74" s="198"/>
      <c r="F74" s="232"/>
    </row>
    <row r="75" spans="2:6" x14ac:dyDescent="0.3">
      <c r="B75" s="261" t="s">
        <v>70</v>
      </c>
      <c r="C75" s="220">
        <f t="shared" si="1"/>
        <v>0</v>
      </c>
      <c r="D75" s="221"/>
      <c r="E75" s="198"/>
      <c r="F75" s="232"/>
    </row>
    <row r="76" spans="2:6" x14ac:dyDescent="0.3">
      <c r="B76" s="191" t="s">
        <v>71</v>
      </c>
      <c r="C76" s="220">
        <f t="shared" si="1"/>
        <v>43877.193908533707</v>
      </c>
      <c r="D76" s="221">
        <f>+C51</f>
        <v>13986.993908533714</v>
      </c>
      <c r="E76" s="198">
        <f>+D51</f>
        <v>24000</v>
      </c>
      <c r="F76" s="232">
        <f>+E51</f>
        <v>5890.2000000000007</v>
      </c>
    </row>
    <row r="77" spans="2:6" x14ac:dyDescent="0.3">
      <c r="B77" s="264" t="s">
        <v>72</v>
      </c>
      <c r="C77" s="220">
        <f t="shared" si="1"/>
        <v>0</v>
      </c>
      <c r="D77" s="221"/>
      <c r="E77" s="198"/>
      <c r="F77" s="232"/>
    </row>
    <row r="78" spans="2:6" x14ac:dyDescent="0.3">
      <c r="B78" s="192" t="s">
        <v>73</v>
      </c>
      <c r="C78" s="220">
        <f t="shared" si="1"/>
        <v>38894.878018989446</v>
      </c>
      <c r="D78" s="221">
        <f>+C52</f>
        <v>20202.878018989446</v>
      </c>
      <c r="E78" s="198">
        <f>+D52</f>
        <v>18692</v>
      </c>
      <c r="F78" s="232">
        <f>+E52</f>
        <v>0</v>
      </c>
    </row>
    <row r="79" spans="2:6" x14ac:dyDescent="0.3">
      <c r="B79" s="140" t="s">
        <v>183</v>
      </c>
      <c r="C79" s="224">
        <f>SUM(C72:C78)</f>
        <v>526845.99144584313</v>
      </c>
      <c r="D79" s="224">
        <f>SUM(D72:D78)</f>
        <v>227701.79144584312</v>
      </c>
      <c r="E79" s="224">
        <f>SUM(E72:E78)</f>
        <v>240241</v>
      </c>
      <c r="F79" s="224">
        <f>SUM(F72:F78)</f>
        <v>58903.199999999997</v>
      </c>
    </row>
  </sheetData>
  <mergeCells count="32">
    <mergeCell ref="F15:F16"/>
    <mergeCell ref="E15:E16"/>
    <mergeCell ref="C34:C36"/>
    <mergeCell ref="B70:F70"/>
    <mergeCell ref="B59:F59"/>
    <mergeCell ref="D29:D32"/>
    <mergeCell ref="B39:B41"/>
    <mergeCell ref="D39:D41"/>
    <mergeCell ref="F30:F31"/>
    <mergeCell ref="E30:E31"/>
    <mergeCell ref="C31:C32"/>
    <mergeCell ref="D34:D36"/>
    <mergeCell ref="B29:B37"/>
    <mergeCell ref="D24:D26"/>
    <mergeCell ref="B4:F4"/>
    <mergeCell ref="B5:B6"/>
    <mergeCell ref="C5:C6"/>
    <mergeCell ref="D5:D6"/>
    <mergeCell ref="E5:F5"/>
    <mergeCell ref="E7:E8"/>
    <mergeCell ref="D7:D13"/>
    <mergeCell ref="C12:C13"/>
    <mergeCell ref="F9:F12"/>
    <mergeCell ref="F7:F8"/>
    <mergeCell ref="E9:E12"/>
    <mergeCell ref="B7:B13"/>
    <mergeCell ref="D15:D18"/>
    <mergeCell ref="B20:B26"/>
    <mergeCell ref="B15:B18"/>
    <mergeCell ref="C24:C26"/>
    <mergeCell ref="D20:D22"/>
    <mergeCell ref="C21:C22"/>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L123"/>
  <sheetViews>
    <sheetView showGridLines="0" zoomScale="110" zoomScaleNormal="110" workbookViewId="0">
      <selection activeCell="B69" sqref="B69:F69"/>
    </sheetView>
  </sheetViews>
  <sheetFormatPr defaultColWidth="9.1796875" defaultRowHeight="12" x14ac:dyDescent="0.3"/>
  <cols>
    <col min="1" max="1" width="1.1796875" style="177" customWidth="1"/>
    <col min="2" max="2" width="49.7265625" style="206" customWidth="1"/>
    <col min="3" max="3" width="45.7265625" style="206" customWidth="1"/>
    <col min="4" max="4" width="13.453125" style="206" customWidth="1"/>
    <col min="5" max="5" width="19.453125" style="207" customWidth="1"/>
    <col min="6" max="6" width="15.453125" style="206" customWidth="1"/>
    <col min="7" max="7" width="29.453125" style="177" customWidth="1"/>
    <col min="8" max="16384" width="9.1796875" style="177"/>
  </cols>
  <sheetData>
    <row r="3" spans="2:6" x14ac:dyDescent="0.3">
      <c r="B3" s="137" t="s">
        <v>132</v>
      </c>
      <c r="C3" s="137"/>
      <c r="D3" s="137"/>
      <c r="E3" s="159"/>
      <c r="F3" s="138"/>
    </row>
    <row r="4" spans="2:6" ht="31.5" customHeight="1" x14ac:dyDescent="0.3">
      <c r="B4" s="589" t="s">
        <v>255</v>
      </c>
      <c r="C4" s="589"/>
      <c r="D4" s="589"/>
      <c r="E4" s="589"/>
      <c r="F4" s="589"/>
    </row>
    <row r="5" spans="2:6" ht="27.75" customHeight="1" x14ac:dyDescent="0.3">
      <c r="B5" s="581" t="s">
        <v>102</v>
      </c>
      <c r="C5" s="581" t="s">
        <v>103</v>
      </c>
      <c r="D5" s="581" t="s">
        <v>104</v>
      </c>
      <c r="E5" s="583" t="s">
        <v>105</v>
      </c>
      <c r="F5" s="583"/>
    </row>
    <row r="6" spans="2:6" x14ac:dyDescent="0.3">
      <c r="B6" s="582"/>
      <c r="C6" s="582"/>
      <c r="D6" s="582"/>
      <c r="E6" s="492" t="s">
        <v>106</v>
      </c>
      <c r="F6" s="492" t="s">
        <v>107</v>
      </c>
    </row>
    <row r="7" spans="2:6" ht="41.25" customHeight="1" x14ac:dyDescent="0.3">
      <c r="B7" s="608" t="s">
        <v>133</v>
      </c>
      <c r="C7" s="606" t="s">
        <v>134</v>
      </c>
      <c r="D7" s="565" t="s">
        <v>2</v>
      </c>
      <c r="E7" s="175" t="s">
        <v>67</v>
      </c>
      <c r="F7" s="178">
        <v>137608.49311119973</v>
      </c>
    </row>
    <row r="8" spans="2:6" x14ac:dyDescent="0.3">
      <c r="B8" s="608"/>
      <c r="C8" s="606"/>
      <c r="D8" s="566"/>
      <c r="E8" s="175" t="s">
        <v>71</v>
      </c>
      <c r="F8" s="178">
        <v>15929.598376038031</v>
      </c>
    </row>
    <row r="9" spans="2:6" ht="39.75" customHeight="1" x14ac:dyDescent="0.3">
      <c r="B9" s="608"/>
      <c r="C9" s="164" t="s">
        <v>135</v>
      </c>
      <c r="D9" s="566"/>
      <c r="E9" s="175" t="s">
        <v>73</v>
      </c>
      <c r="F9" s="178">
        <v>8383.4690688936498</v>
      </c>
    </row>
    <row r="10" spans="2:6" x14ac:dyDescent="0.2">
      <c r="B10" s="456" t="s">
        <v>256</v>
      </c>
      <c r="C10" s="456"/>
      <c r="D10" s="456"/>
      <c r="E10" s="456"/>
      <c r="F10" s="457">
        <f>SUM(F7:F9)</f>
        <v>161921.56055613139</v>
      </c>
    </row>
    <row r="11" spans="2:6" ht="40.5" customHeight="1" x14ac:dyDescent="0.3">
      <c r="B11" s="576" t="s">
        <v>143</v>
      </c>
      <c r="C11" s="577"/>
      <c r="D11" s="577"/>
      <c r="E11" s="577"/>
      <c r="F11" s="578"/>
    </row>
    <row r="12" spans="2:6" ht="27.75" customHeight="1" x14ac:dyDescent="0.3">
      <c r="B12" s="581" t="s">
        <v>102</v>
      </c>
      <c r="C12" s="581" t="s">
        <v>103</v>
      </c>
      <c r="D12" s="581" t="s">
        <v>104</v>
      </c>
      <c r="E12" s="583" t="s">
        <v>105</v>
      </c>
      <c r="F12" s="583"/>
    </row>
    <row r="13" spans="2:6" ht="18.75" customHeight="1" x14ac:dyDescent="0.3">
      <c r="B13" s="582"/>
      <c r="C13" s="582"/>
      <c r="D13" s="582"/>
      <c r="E13" s="492" t="s">
        <v>106</v>
      </c>
      <c r="F13" s="492" t="s">
        <v>107</v>
      </c>
    </row>
    <row r="14" spans="2:6" ht="24" x14ac:dyDescent="0.3">
      <c r="B14" s="559" t="s">
        <v>136</v>
      </c>
      <c r="C14" s="179" t="s">
        <v>257</v>
      </c>
      <c r="D14" s="607" t="s">
        <v>65</v>
      </c>
      <c r="E14" s="131" t="s">
        <v>67</v>
      </c>
      <c r="F14" s="148">
        <v>158344.99</v>
      </c>
    </row>
    <row r="15" spans="2:6" x14ac:dyDescent="0.3">
      <c r="B15" s="560"/>
      <c r="C15" s="180" t="s">
        <v>258</v>
      </c>
      <c r="D15" s="557"/>
      <c r="E15" s="562" t="s">
        <v>71</v>
      </c>
      <c r="F15" s="584">
        <v>22000</v>
      </c>
    </row>
    <row r="16" spans="2:6" x14ac:dyDescent="0.3">
      <c r="B16" s="560"/>
      <c r="C16" s="181" t="s">
        <v>138</v>
      </c>
      <c r="D16" s="557"/>
      <c r="E16" s="564"/>
      <c r="F16" s="585"/>
    </row>
    <row r="17" spans="2:12" ht="41.25" customHeight="1" x14ac:dyDescent="0.3">
      <c r="B17" s="561"/>
      <c r="C17" s="181" t="s">
        <v>265</v>
      </c>
      <c r="D17" s="557"/>
      <c r="E17" s="504" t="s">
        <v>73</v>
      </c>
      <c r="F17" s="176">
        <v>7009.3450000000003</v>
      </c>
    </row>
    <row r="18" spans="2:12" x14ac:dyDescent="0.3">
      <c r="B18" s="269" t="s">
        <v>183</v>
      </c>
      <c r="C18" s="269"/>
      <c r="D18" s="269"/>
      <c r="E18" s="269"/>
      <c r="F18" s="270">
        <f>SUM(F14:F17)</f>
        <v>187354.33499999999</v>
      </c>
    </row>
    <row r="19" spans="2:12" ht="24" x14ac:dyDescent="0.3">
      <c r="B19" s="554" t="s">
        <v>259</v>
      </c>
      <c r="C19" s="554" t="s">
        <v>260</v>
      </c>
      <c r="D19" s="565" t="s">
        <v>2</v>
      </c>
      <c r="E19" s="175" t="s">
        <v>67</v>
      </c>
      <c r="F19" s="178">
        <v>34402.123277799932</v>
      </c>
    </row>
    <row r="20" spans="2:12" x14ac:dyDescent="0.3">
      <c r="B20" s="555"/>
      <c r="C20" s="555"/>
      <c r="D20" s="566"/>
      <c r="E20" s="175" t="s">
        <v>71</v>
      </c>
      <c r="F20" s="178">
        <v>3982.3995940095078</v>
      </c>
    </row>
    <row r="21" spans="2:12" ht="36" x14ac:dyDescent="0.3">
      <c r="B21" s="555"/>
      <c r="C21" s="556"/>
      <c r="D21" s="566"/>
      <c r="E21" s="175" t="s">
        <v>73</v>
      </c>
      <c r="F21" s="178">
        <v>2095.8672672234125</v>
      </c>
    </row>
    <row r="22" spans="2:12" x14ac:dyDescent="0.3">
      <c r="B22" s="269" t="s">
        <v>183</v>
      </c>
      <c r="C22" s="269"/>
      <c r="D22" s="269"/>
      <c r="E22" s="269"/>
      <c r="F22" s="270">
        <f>SUM(F19:F21)</f>
        <v>40480.390139032846</v>
      </c>
    </row>
    <row r="23" spans="2:12" ht="48" x14ac:dyDescent="0.3">
      <c r="B23" s="559" t="s">
        <v>261</v>
      </c>
      <c r="C23" s="181" t="s">
        <v>139</v>
      </c>
      <c r="D23" s="607" t="s">
        <v>65</v>
      </c>
      <c r="E23" s="131" t="s">
        <v>67</v>
      </c>
      <c r="F23" s="148">
        <f>316689.98/2</f>
        <v>158344.99</v>
      </c>
    </row>
    <row r="24" spans="2:12" x14ac:dyDescent="0.3">
      <c r="B24" s="560"/>
      <c r="C24" s="605" t="s">
        <v>140</v>
      </c>
      <c r="D24" s="557"/>
      <c r="E24" s="131" t="s">
        <v>71</v>
      </c>
      <c r="F24" s="148">
        <f>44000/2</f>
        <v>22000</v>
      </c>
    </row>
    <row r="25" spans="2:12" ht="24" customHeight="1" x14ac:dyDescent="0.3">
      <c r="B25" s="561"/>
      <c r="C25" s="605"/>
      <c r="D25" s="557"/>
      <c r="E25" s="131" t="s">
        <v>73</v>
      </c>
      <c r="F25" s="176">
        <f>14018.69/2</f>
        <v>7009.3450000000003</v>
      </c>
    </row>
    <row r="26" spans="2:12" x14ac:dyDescent="0.3">
      <c r="B26" s="269" t="s">
        <v>183</v>
      </c>
      <c r="C26" s="269"/>
      <c r="D26" s="269"/>
      <c r="E26" s="269"/>
      <c r="F26" s="270">
        <f>SUM(F23:F25)</f>
        <v>187354.33499999999</v>
      </c>
      <c r="G26" s="182"/>
    </row>
    <row r="27" spans="2:12" ht="33" customHeight="1" x14ac:dyDescent="0.3">
      <c r="B27" s="612" t="s">
        <v>262</v>
      </c>
      <c r="C27" s="615" t="s">
        <v>141</v>
      </c>
      <c r="D27" s="609" t="s">
        <v>66</v>
      </c>
      <c r="E27" s="116" t="s">
        <v>67</v>
      </c>
      <c r="F27" s="183">
        <v>27840</v>
      </c>
    </row>
    <row r="28" spans="2:12" x14ac:dyDescent="0.3">
      <c r="B28" s="613"/>
      <c r="C28" s="616"/>
      <c r="D28" s="610"/>
      <c r="E28" s="116" t="s">
        <v>71</v>
      </c>
      <c r="F28" s="183">
        <v>3000</v>
      </c>
      <c r="H28" s="184"/>
      <c r="I28" s="184"/>
      <c r="J28" s="184"/>
      <c r="K28" s="184"/>
      <c r="L28" s="184"/>
    </row>
    <row r="29" spans="2:12" ht="36" x14ac:dyDescent="0.3">
      <c r="B29" s="614"/>
      <c r="C29" s="617"/>
      <c r="D29" s="611"/>
      <c r="E29" s="116" t="s">
        <v>73</v>
      </c>
      <c r="F29" s="183"/>
      <c r="H29" s="184"/>
      <c r="I29" s="184"/>
      <c r="J29" s="184"/>
      <c r="K29" s="184"/>
      <c r="L29" s="184"/>
    </row>
    <row r="30" spans="2:12" x14ac:dyDescent="0.3">
      <c r="B30" s="269" t="s">
        <v>183</v>
      </c>
      <c r="C30" s="269"/>
      <c r="D30" s="269"/>
      <c r="E30" s="269"/>
      <c r="F30" s="270">
        <f>SUM(F27:F29)</f>
        <v>30840</v>
      </c>
      <c r="H30" s="184"/>
      <c r="I30" s="184"/>
      <c r="J30" s="184"/>
      <c r="K30" s="184"/>
      <c r="L30" s="184"/>
    </row>
    <row r="31" spans="2:12" ht="24" x14ac:dyDescent="0.3">
      <c r="B31" s="612" t="s">
        <v>137</v>
      </c>
      <c r="C31" s="615" t="s">
        <v>263</v>
      </c>
      <c r="D31" s="609" t="s">
        <v>66</v>
      </c>
      <c r="E31" s="116" t="s">
        <v>67</v>
      </c>
      <c r="F31" s="185">
        <v>54160</v>
      </c>
      <c r="H31" s="184"/>
      <c r="I31" s="184"/>
      <c r="J31" s="184"/>
      <c r="K31" s="184"/>
      <c r="L31" s="184"/>
    </row>
    <row r="32" spans="2:12" x14ac:dyDescent="0.3">
      <c r="B32" s="613"/>
      <c r="C32" s="616"/>
      <c r="D32" s="610"/>
      <c r="E32" s="168" t="s">
        <v>71</v>
      </c>
      <c r="F32" s="185">
        <v>5000</v>
      </c>
      <c r="H32" s="184"/>
      <c r="I32" s="184"/>
      <c r="J32" s="184"/>
      <c r="K32" s="184"/>
      <c r="L32" s="184"/>
    </row>
    <row r="33" spans="2:12" ht="24" customHeight="1" x14ac:dyDescent="0.3">
      <c r="B33" s="614"/>
      <c r="C33" s="617"/>
      <c r="D33" s="611"/>
      <c r="E33" s="116" t="s">
        <v>73</v>
      </c>
      <c r="F33" s="183">
        <v>5000</v>
      </c>
      <c r="H33" s="184"/>
      <c r="I33" s="184"/>
      <c r="J33" s="184"/>
      <c r="K33" s="184"/>
      <c r="L33" s="184"/>
    </row>
    <row r="34" spans="2:12" x14ac:dyDescent="0.3">
      <c r="B34" s="269" t="s">
        <v>183</v>
      </c>
      <c r="C34" s="269"/>
      <c r="D34" s="269"/>
      <c r="E34" s="269"/>
      <c r="F34" s="270">
        <f>SUM(F31:F33)</f>
        <v>64160</v>
      </c>
    </row>
    <row r="35" spans="2:12" x14ac:dyDescent="0.3">
      <c r="B35" s="186" t="s">
        <v>256</v>
      </c>
      <c r="C35" s="146"/>
      <c r="D35" s="146"/>
      <c r="E35" s="147"/>
      <c r="F35" s="146">
        <f>F18+F22+F26+F30+F34</f>
        <v>510189.06013903284</v>
      </c>
    </row>
    <row r="36" spans="2:12" x14ac:dyDescent="0.3">
      <c r="B36" s="187" t="s">
        <v>79</v>
      </c>
      <c r="C36" s="187"/>
      <c r="D36" s="187"/>
      <c r="E36" s="188"/>
      <c r="F36" s="189">
        <f>F35+F10</f>
        <v>672110.62069516419</v>
      </c>
      <c r="G36" s="190"/>
    </row>
    <row r="37" spans="2:12" x14ac:dyDescent="0.3">
      <c r="B37" s="191" t="s">
        <v>264</v>
      </c>
      <c r="C37" s="191"/>
      <c r="D37" s="191"/>
      <c r="E37" s="192"/>
      <c r="F37" s="193">
        <f>0.07*F36</f>
        <v>47047.743448661495</v>
      </c>
      <c r="G37" s="190"/>
    </row>
    <row r="38" spans="2:12" x14ac:dyDescent="0.3">
      <c r="B38" s="194" t="s">
        <v>77</v>
      </c>
      <c r="C38" s="187"/>
      <c r="D38" s="187"/>
      <c r="E38" s="188"/>
      <c r="F38" s="189">
        <f>SUM(F36:F37)</f>
        <v>719158.36414382572</v>
      </c>
      <c r="G38" s="190"/>
    </row>
    <row r="40" spans="2:12" x14ac:dyDescent="0.3">
      <c r="B40" s="195" t="s">
        <v>108</v>
      </c>
      <c r="C40" s="195" t="s">
        <v>2</v>
      </c>
      <c r="D40" s="195" t="s">
        <v>65</v>
      </c>
      <c r="E40" s="196" t="s">
        <v>66</v>
      </c>
      <c r="F40" s="195" t="s">
        <v>1</v>
      </c>
    </row>
    <row r="41" spans="2:12" x14ac:dyDescent="0.3">
      <c r="B41" s="141" t="s">
        <v>67</v>
      </c>
      <c r="C41" s="197">
        <f>F7+F19</f>
        <v>172010.61638899965</v>
      </c>
      <c r="D41" s="198">
        <f>F14+F23</f>
        <v>316689.98</v>
      </c>
      <c r="E41" s="199">
        <f>F27+F31</f>
        <v>82000</v>
      </c>
      <c r="F41" s="200">
        <f>SUM(C41:E41)</f>
        <v>570700.59638899961</v>
      </c>
    </row>
    <row r="42" spans="2:12" x14ac:dyDescent="0.3">
      <c r="B42" s="141" t="s">
        <v>71</v>
      </c>
      <c r="C42" s="197">
        <f>F8+F20</f>
        <v>19911.997970047538</v>
      </c>
      <c r="D42" s="198">
        <f>F15+F24</f>
        <v>44000</v>
      </c>
      <c r="E42" s="199">
        <f>F28+F32</f>
        <v>8000</v>
      </c>
      <c r="F42" s="200">
        <f>SUM(C42:E42)</f>
        <v>71911.997970047538</v>
      </c>
    </row>
    <row r="43" spans="2:12" x14ac:dyDescent="0.3">
      <c r="B43" s="142" t="s">
        <v>73</v>
      </c>
      <c r="C43" s="197">
        <f>F9+F21</f>
        <v>10479.336336117063</v>
      </c>
      <c r="D43" s="198">
        <f>F17+F25</f>
        <v>14018.69</v>
      </c>
      <c r="E43" s="199">
        <f>F29+F33</f>
        <v>5000</v>
      </c>
      <c r="F43" s="200">
        <f>SUM(C43:E43)</f>
        <v>29498.026336117066</v>
      </c>
    </row>
    <row r="44" spans="2:12" x14ac:dyDescent="0.3">
      <c r="B44" s="201" t="s">
        <v>79</v>
      </c>
      <c r="C44" s="202">
        <f>SUM(C41:C43)</f>
        <v>202401.95069516427</v>
      </c>
      <c r="D44" s="202">
        <f>SUM(D41:D43)</f>
        <v>374708.67</v>
      </c>
      <c r="E44" s="203">
        <f>SUM(E41:E43)</f>
        <v>95000</v>
      </c>
      <c r="F44" s="202">
        <f>SUM(F41:F43)</f>
        <v>672110.62069516419</v>
      </c>
      <c r="G44" s="461">
        <f>C67+C78</f>
        <v>672110.62069516419</v>
      </c>
    </row>
    <row r="45" spans="2:12" x14ac:dyDescent="0.3">
      <c r="B45" s="191" t="s">
        <v>109</v>
      </c>
      <c r="C45" s="193">
        <f>0.07*C44</f>
        <v>14168.1365486615</v>
      </c>
      <c r="D45" s="193">
        <f>0.07*D44</f>
        <v>26229.606900000002</v>
      </c>
      <c r="E45" s="205">
        <f>0.07*E44</f>
        <v>6650.0000000000009</v>
      </c>
      <c r="F45" s="193">
        <f>0.07*F44</f>
        <v>47047.743448661495</v>
      </c>
    </row>
    <row r="46" spans="2:12" x14ac:dyDescent="0.3">
      <c r="B46" s="458" t="s">
        <v>1</v>
      </c>
      <c r="C46" s="459">
        <f>SUM(C44:C45)</f>
        <v>216570.08724382578</v>
      </c>
      <c r="D46" s="459">
        <f>SUM(D44:D45)</f>
        <v>400938.2769</v>
      </c>
      <c r="E46" s="460">
        <f>SUM(E44:E45)</f>
        <v>101650</v>
      </c>
      <c r="F46" s="459">
        <f>SUM(F44:F45)</f>
        <v>719158.36414382572</v>
      </c>
    </row>
    <row r="47" spans="2:12" ht="6.75" customHeight="1" x14ac:dyDescent="0.3"/>
    <row r="48" spans="2:12" hidden="1" x14ac:dyDescent="0.3">
      <c r="B48" s="208" t="s">
        <v>266</v>
      </c>
    </row>
    <row r="49" spans="2:6" hidden="1" x14ac:dyDescent="0.3">
      <c r="B49" s="195" t="s">
        <v>56</v>
      </c>
      <c r="C49" s="195" t="s">
        <v>2</v>
      </c>
      <c r="D49" s="195" t="s">
        <v>3</v>
      </c>
      <c r="E49" s="196" t="s">
        <v>4</v>
      </c>
      <c r="F49" s="195" t="s">
        <v>1</v>
      </c>
    </row>
    <row r="50" spans="2:6" hidden="1" x14ac:dyDescent="0.3">
      <c r="B50" s="141" t="s">
        <v>32</v>
      </c>
      <c r="C50" s="200">
        <f>F19</f>
        <v>34402.123277799932</v>
      </c>
      <c r="D50" s="193">
        <f t="shared" ref="D50:E52" si="0">D41</f>
        <v>316689.98</v>
      </c>
      <c r="E50" s="209">
        <f t="shared" si="0"/>
        <v>82000</v>
      </c>
      <c r="F50" s="200">
        <f>SUM(C50:E50)</f>
        <v>433092.10327779991</v>
      </c>
    </row>
    <row r="51" spans="2:6" hidden="1" x14ac:dyDescent="0.3">
      <c r="B51" s="141" t="s">
        <v>36</v>
      </c>
      <c r="C51" s="200">
        <f>F20</f>
        <v>3982.3995940095078</v>
      </c>
      <c r="D51" s="193">
        <f t="shared" si="0"/>
        <v>44000</v>
      </c>
      <c r="E51" s="209">
        <f t="shared" si="0"/>
        <v>8000</v>
      </c>
      <c r="F51" s="200">
        <f>SUM(C51:E51)</f>
        <v>55982.399594009505</v>
      </c>
    </row>
    <row r="52" spans="2:6" hidden="1" x14ac:dyDescent="0.3">
      <c r="B52" s="142" t="s">
        <v>37</v>
      </c>
      <c r="C52" s="200">
        <f>F21</f>
        <v>2095.8672672234125</v>
      </c>
      <c r="D52" s="193">
        <f t="shared" si="0"/>
        <v>14018.69</v>
      </c>
      <c r="E52" s="209">
        <f t="shared" si="0"/>
        <v>5000</v>
      </c>
      <c r="F52" s="200">
        <f>SUM(C52:E52)</f>
        <v>21114.557267223412</v>
      </c>
    </row>
    <row r="53" spans="2:6" hidden="1" x14ac:dyDescent="0.3">
      <c r="B53" s="191" t="s">
        <v>26</v>
      </c>
      <c r="C53" s="200">
        <f>SUM(C50:C52)</f>
        <v>40480.390139032846</v>
      </c>
      <c r="D53" s="200">
        <f>SUM(D50:D52)</f>
        <v>374708.67</v>
      </c>
      <c r="E53" s="209">
        <f>SUM(E50:E52)</f>
        <v>95000</v>
      </c>
      <c r="F53" s="200">
        <f>SUM(F50:F52)</f>
        <v>510189.06013903284</v>
      </c>
    </row>
    <row r="54" spans="2:6" hidden="1" x14ac:dyDescent="0.3">
      <c r="B54" s="191" t="s">
        <v>57</v>
      </c>
      <c r="C54" s="193">
        <f>0.07*C53</f>
        <v>2833.6273097322996</v>
      </c>
      <c r="D54" s="193">
        <f>0.07*D53</f>
        <v>26229.606900000002</v>
      </c>
      <c r="E54" s="205">
        <f>0.07*E53</f>
        <v>6650.0000000000009</v>
      </c>
      <c r="F54" s="193">
        <f>0.07*F53</f>
        <v>35713.234209732305</v>
      </c>
    </row>
    <row r="55" spans="2:6" hidden="1" x14ac:dyDescent="0.3">
      <c r="B55" s="210" t="s">
        <v>1</v>
      </c>
      <c r="C55" s="211">
        <f>SUM(C53:C54)</f>
        <v>43314.017448765146</v>
      </c>
      <c r="D55" s="211">
        <f>SUM(D53:D54)</f>
        <v>400938.2769</v>
      </c>
      <c r="E55" s="212">
        <f>SUM(E53:E54)</f>
        <v>101650</v>
      </c>
      <c r="F55" s="211">
        <f>SUM(F53:F54)</f>
        <v>545902.29434876516</v>
      </c>
    </row>
    <row r="56" spans="2:6" ht="12" customHeight="1" thickBot="1" x14ac:dyDescent="0.35">
      <c r="B56" s="213" t="s">
        <v>112</v>
      </c>
      <c r="C56" s="214">
        <f>'Comparativo 2019'!F6</f>
        <v>202402</v>
      </c>
      <c r="D56" s="214">
        <f>'Comparativo 2019'!G6</f>
        <v>352700</v>
      </c>
      <c r="E56" s="215">
        <f>'Comparativo 2019'!H6</f>
        <v>95000</v>
      </c>
      <c r="F56" s="214">
        <f>SUM(C56:E56)</f>
        <v>650102</v>
      </c>
    </row>
    <row r="57" spans="2:6" ht="12.5" thickTop="1" x14ac:dyDescent="0.3"/>
    <row r="58" spans="2:6" ht="25.5" customHeight="1" x14ac:dyDescent="0.3">
      <c r="B58" s="589" t="s">
        <v>255</v>
      </c>
      <c r="C58" s="589"/>
      <c r="D58" s="589"/>
      <c r="E58" s="589"/>
      <c r="F58" s="589"/>
    </row>
    <row r="59" spans="2:6" x14ac:dyDescent="0.3">
      <c r="B59" s="216" t="s">
        <v>110</v>
      </c>
      <c r="C59" s="217" t="s">
        <v>60</v>
      </c>
      <c r="D59" s="218" t="s">
        <v>2</v>
      </c>
      <c r="E59" s="219" t="s">
        <v>65</v>
      </c>
      <c r="F59" s="218" t="s">
        <v>66</v>
      </c>
    </row>
    <row r="60" spans="2:6" x14ac:dyDescent="0.3">
      <c r="B60" s="141" t="s">
        <v>67</v>
      </c>
      <c r="C60" s="220">
        <f>D60+E60+F60</f>
        <v>137608.49311119973</v>
      </c>
      <c r="D60" s="221">
        <f>+F7</f>
        <v>137608.49311119973</v>
      </c>
      <c r="E60" s="222"/>
      <c r="F60" s="223"/>
    </row>
    <row r="61" spans="2:6" x14ac:dyDescent="0.3">
      <c r="B61" s="261" t="s">
        <v>68</v>
      </c>
      <c r="C61" s="220">
        <f t="shared" ref="C61:C66" si="1">D61+E61+F61</f>
        <v>0</v>
      </c>
      <c r="D61" s="221"/>
      <c r="E61" s="222"/>
      <c r="F61" s="223"/>
    </row>
    <row r="62" spans="2:6" x14ac:dyDescent="0.3">
      <c r="B62" s="264" t="s">
        <v>69</v>
      </c>
      <c r="C62" s="220">
        <f t="shared" si="1"/>
        <v>0</v>
      </c>
      <c r="D62" s="221"/>
      <c r="E62" s="222"/>
      <c r="F62" s="223"/>
    </row>
    <row r="63" spans="2:6" x14ac:dyDescent="0.3">
      <c r="B63" s="261" t="s">
        <v>70</v>
      </c>
      <c r="C63" s="220">
        <f t="shared" si="1"/>
        <v>0</v>
      </c>
      <c r="D63" s="221"/>
      <c r="E63" s="222"/>
      <c r="F63" s="223"/>
    </row>
    <row r="64" spans="2:6" x14ac:dyDescent="0.3">
      <c r="B64" s="191" t="s">
        <v>71</v>
      </c>
      <c r="C64" s="220">
        <f t="shared" si="1"/>
        <v>15929.598376038031</v>
      </c>
      <c r="D64" s="221">
        <f>+F8</f>
        <v>15929.598376038031</v>
      </c>
      <c r="E64" s="222"/>
      <c r="F64" s="223"/>
    </row>
    <row r="65" spans="2:6" x14ac:dyDescent="0.3">
      <c r="B65" s="264" t="s">
        <v>72</v>
      </c>
      <c r="C65" s="220">
        <f t="shared" si="1"/>
        <v>0</v>
      </c>
      <c r="D65" s="221"/>
      <c r="E65" s="222"/>
      <c r="F65" s="223"/>
    </row>
    <row r="66" spans="2:6" x14ac:dyDescent="0.3">
      <c r="B66" s="192" t="s">
        <v>73</v>
      </c>
      <c r="C66" s="220">
        <f t="shared" si="1"/>
        <v>8383.4690688936498</v>
      </c>
      <c r="D66" s="221">
        <f>+F9</f>
        <v>8383.4690688936498</v>
      </c>
      <c r="E66" s="222"/>
      <c r="F66" s="223"/>
    </row>
    <row r="67" spans="2:6" x14ac:dyDescent="0.3">
      <c r="B67" s="140" t="s">
        <v>183</v>
      </c>
      <c r="C67" s="224">
        <f>SUM(C60:C66)</f>
        <v>161921.56055613139</v>
      </c>
      <c r="D67" s="224">
        <f>SUM(D60:D66)</f>
        <v>161921.56055613139</v>
      </c>
      <c r="E67" s="225">
        <f>SUM(E60:E66)</f>
        <v>0</v>
      </c>
      <c r="F67" s="224">
        <f>SUM(F60:F66)</f>
        <v>0</v>
      </c>
    </row>
    <row r="69" spans="2:6" ht="26.25" customHeight="1" x14ac:dyDescent="0.3">
      <c r="B69" s="576" t="s">
        <v>143</v>
      </c>
      <c r="C69" s="577"/>
      <c r="D69" s="577"/>
      <c r="E69" s="577"/>
      <c r="F69" s="578"/>
    </row>
    <row r="70" spans="2:6" x14ac:dyDescent="0.3">
      <c r="B70" s="216" t="s">
        <v>110</v>
      </c>
      <c r="C70" s="217" t="s">
        <v>60</v>
      </c>
      <c r="D70" s="218" t="s">
        <v>2</v>
      </c>
      <c r="E70" s="219" t="s">
        <v>65</v>
      </c>
      <c r="F70" s="218" t="s">
        <v>66</v>
      </c>
    </row>
    <row r="71" spans="2:6" x14ac:dyDescent="0.3">
      <c r="B71" s="141" t="s">
        <v>67</v>
      </c>
      <c r="C71" s="220">
        <f>D71+E71+F71</f>
        <v>433092.10327779991</v>
      </c>
      <c r="D71" s="221">
        <f>+F19</f>
        <v>34402.123277799932</v>
      </c>
      <c r="E71" s="222">
        <f>+F14+F23</f>
        <v>316689.98</v>
      </c>
      <c r="F71" s="223">
        <f>+F27+F31</f>
        <v>82000</v>
      </c>
    </row>
    <row r="72" spans="2:6" x14ac:dyDescent="0.3">
      <c r="B72" s="261" t="s">
        <v>68</v>
      </c>
      <c r="C72" s="220">
        <f t="shared" ref="C72:C77" si="2">D72+E72+F72</f>
        <v>0</v>
      </c>
      <c r="D72" s="221"/>
      <c r="E72" s="222"/>
      <c r="F72" s="223"/>
    </row>
    <row r="73" spans="2:6" x14ac:dyDescent="0.3">
      <c r="B73" s="264" t="s">
        <v>69</v>
      </c>
      <c r="C73" s="220">
        <f t="shared" si="2"/>
        <v>0</v>
      </c>
      <c r="D73" s="221"/>
      <c r="E73" s="222"/>
      <c r="F73" s="223"/>
    </row>
    <row r="74" spans="2:6" x14ac:dyDescent="0.3">
      <c r="B74" s="261" t="s">
        <v>70</v>
      </c>
      <c r="C74" s="220">
        <f t="shared" si="2"/>
        <v>0</v>
      </c>
      <c r="D74" s="221"/>
      <c r="E74" s="222"/>
      <c r="F74" s="223"/>
    </row>
    <row r="75" spans="2:6" x14ac:dyDescent="0.3">
      <c r="B75" s="191" t="s">
        <v>71</v>
      </c>
      <c r="C75" s="220">
        <f t="shared" si="2"/>
        <v>55982.399594009505</v>
      </c>
      <c r="D75" s="221">
        <f>+F20</f>
        <v>3982.3995940095078</v>
      </c>
      <c r="E75" s="222">
        <f>+F15+F24</f>
        <v>44000</v>
      </c>
      <c r="F75" s="223">
        <f>+F28+F32</f>
        <v>8000</v>
      </c>
    </row>
    <row r="76" spans="2:6" x14ac:dyDescent="0.3">
      <c r="B76" s="264" t="s">
        <v>72</v>
      </c>
      <c r="C76" s="220">
        <f t="shared" si="2"/>
        <v>0</v>
      </c>
      <c r="D76" s="221"/>
      <c r="E76" s="222"/>
      <c r="F76" s="223"/>
    </row>
    <row r="77" spans="2:6" x14ac:dyDescent="0.3">
      <c r="B77" s="192" t="s">
        <v>73</v>
      </c>
      <c r="C77" s="220">
        <f t="shared" si="2"/>
        <v>21114.557267223412</v>
      </c>
      <c r="D77" s="221">
        <f>+F21</f>
        <v>2095.8672672234125</v>
      </c>
      <c r="E77" s="222">
        <f>+F25+F17</f>
        <v>14018.69</v>
      </c>
      <c r="F77" s="223">
        <f>F29+F33</f>
        <v>5000</v>
      </c>
    </row>
    <row r="78" spans="2:6" x14ac:dyDescent="0.3">
      <c r="B78" s="140" t="s">
        <v>183</v>
      </c>
      <c r="C78" s="224">
        <f>SUM(C71:C77)</f>
        <v>510189.06013903284</v>
      </c>
      <c r="D78" s="224">
        <f>SUM(D71:D77)</f>
        <v>40480.390139032846</v>
      </c>
      <c r="E78" s="225">
        <f>SUM(E71:E77)</f>
        <v>374708.67</v>
      </c>
      <c r="F78" s="224">
        <f>SUM(F71:F77)</f>
        <v>95000</v>
      </c>
    </row>
    <row r="119" spans="2:6" x14ac:dyDescent="0.3">
      <c r="B119" s="226"/>
    </row>
    <row r="120" spans="2:6" x14ac:dyDescent="0.3">
      <c r="B120" s="226"/>
    </row>
    <row r="121" spans="2:6" x14ac:dyDescent="0.3">
      <c r="B121" s="226"/>
    </row>
    <row r="122" spans="2:6" ht="18.75" customHeight="1" x14ac:dyDescent="0.3"/>
    <row r="123" spans="2:6" ht="409.6" customHeight="1" x14ac:dyDescent="0.3">
      <c r="B123" s="227"/>
      <c r="C123" s="227"/>
      <c r="D123" s="227"/>
      <c r="E123" s="227"/>
      <c r="F123" s="227"/>
    </row>
  </sheetData>
  <mergeCells count="31">
    <mergeCell ref="B69:F69"/>
    <mergeCell ref="B58:F58"/>
    <mergeCell ref="C31:C33"/>
    <mergeCell ref="C27:C29"/>
    <mergeCell ref="D27:D29"/>
    <mergeCell ref="B14:B17"/>
    <mergeCell ref="D31:D33"/>
    <mergeCell ref="B27:B29"/>
    <mergeCell ref="B23:B25"/>
    <mergeCell ref="B31:B33"/>
    <mergeCell ref="C19:C21"/>
    <mergeCell ref="B19:B21"/>
    <mergeCell ref="B4:F4"/>
    <mergeCell ref="B7:B9"/>
    <mergeCell ref="D7:D9"/>
    <mergeCell ref="E5:F5"/>
    <mergeCell ref="E12:F12"/>
    <mergeCell ref="B11:F11"/>
    <mergeCell ref="D12:D13"/>
    <mergeCell ref="B5:B6"/>
    <mergeCell ref="B12:B13"/>
    <mergeCell ref="C12:C13"/>
    <mergeCell ref="E15:E16"/>
    <mergeCell ref="F15:F16"/>
    <mergeCell ref="C24:C25"/>
    <mergeCell ref="D5:D6"/>
    <mergeCell ref="C5:C6"/>
    <mergeCell ref="C7:C8"/>
    <mergeCell ref="D14:D17"/>
    <mergeCell ref="D19:D21"/>
    <mergeCell ref="D23:D25"/>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K68"/>
  <sheetViews>
    <sheetView showGridLines="0" zoomScaleNormal="100" workbookViewId="0">
      <selection activeCell="C7" sqref="C7"/>
    </sheetView>
  </sheetViews>
  <sheetFormatPr defaultColWidth="9.1796875" defaultRowHeight="26.25" customHeight="1" x14ac:dyDescent="0.3"/>
  <cols>
    <col min="1" max="1" width="1.26953125" style="177" customWidth="1"/>
    <col min="2" max="2" width="51.26953125" style="206" customWidth="1"/>
    <col min="3" max="3" width="54.7265625" style="206" customWidth="1"/>
    <col min="4" max="4" width="13.81640625" style="206" customWidth="1"/>
    <col min="5" max="5" width="17.453125" style="207" customWidth="1"/>
    <col min="6" max="6" width="12" style="206" customWidth="1"/>
    <col min="7" max="7" width="20.81640625" style="177" customWidth="1"/>
    <col min="8" max="16384" width="9.1796875" style="177"/>
  </cols>
  <sheetData>
    <row r="1" spans="2:11" ht="12" x14ac:dyDescent="0.3"/>
    <row r="2" spans="2:11" ht="12" x14ac:dyDescent="0.2"/>
    <row r="3" spans="2:11" ht="12" x14ac:dyDescent="0.3">
      <c r="B3" s="137" t="s">
        <v>142</v>
      </c>
      <c r="C3" s="137"/>
      <c r="D3" s="137"/>
      <c r="E3" s="159"/>
      <c r="F3" s="138"/>
    </row>
    <row r="4" spans="2:11" ht="26.25" customHeight="1" x14ac:dyDescent="0.3">
      <c r="B4" s="589" t="s">
        <v>255</v>
      </c>
      <c r="C4" s="589"/>
      <c r="D4" s="589"/>
      <c r="E4" s="589"/>
      <c r="F4" s="589"/>
    </row>
    <row r="5" spans="2:11" ht="26.25" customHeight="1" x14ac:dyDescent="0.3">
      <c r="B5" s="581" t="s">
        <v>102</v>
      </c>
      <c r="C5" s="581" t="s">
        <v>103</v>
      </c>
      <c r="D5" s="581" t="s">
        <v>104</v>
      </c>
      <c r="E5" s="583" t="s">
        <v>105</v>
      </c>
      <c r="F5" s="583"/>
    </row>
    <row r="6" spans="2:11" ht="26.25" customHeight="1" x14ac:dyDescent="0.3">
      <c r="B6" s="582"/>
      <c r="C6" s="582"/>
      <c r="D6" s="582"/>
      <c r="E6" s="492" t="s">
        <v>106</v>
      </c>
      <c r="F6" s="492" t="s">
        <v>107</v>
      </c>
    </row>
    <row r="7" spans="2:11" ht="36" x14ac:dyDescent="0.3">
      <c r="B7" s="568" t="s">
        <v>144</v>
      </c>
      <c r="C7" s="128" t="s">
        <v>267</v>
      </c>
      <c r="D7" s="565" t="s">
        <v>2</v>
      </c>
      <c r="E7" s="170" t="s">
        <v>67</v>
      </c>
      <c r="F7" s="229">
        <v>286106</v>
      </c>
    </row>
    <row r="8" spans="2:11" ht="26.25" customHeight="1" x14ac:dyDescent="0.3">
      <c r="B8" s="640"/>
      <c r="C8" s="568" t="s">
        <v>268</v>
      </c>
      <c r="D8" s="566"/>
      <c r="E8" s="175" t="s">
        <v>71</v>
      </c>
      <c r="F8" s="178">
        <v>35822</v>
      </c>
    </row>
    <row r="9" spans="2:11" ht="51" customHeight="1" x14ac:dyDescent="0.3">
      <c r="B9" s="569"/>
      <c r="C9" s="569"/>
      <c r="D9" s="567"/>
      <c r="E9" s="175" t="s">
        <v>73</v>
      </c>
      <c r="F9" s="178">
        <v>75326</v>
      </c>
    </row>
    <row r="10" spans="2:11" ht="12" x14ac:dyDescent="0.2">
      <c r="B10" s="456" t="s">
        <v>256</v>
      </c>
      <c r="C10" s="456"/>
      <c r="D10" s="456"/>
      <c r="E10" s="456"/>
      <c r="F10" s="457">
        <f>SUM(F7:F9)</f>
        <v>397254</v>
      </c>
    </row>
    <row r="11" spans="2:11" ht="26.25" customHeight="1" x14ac:dyDescent="0.3">
      <c r="B11" s="576" t="s">
        <v>143</v>
      </c>
      <c r="C11" s="577"/>
      <c r="D11" s="577"/>
      <c r="E11" s="577"/>
      <c r="F11" s="578"/>
    </row>
    <row r="12" spans="2:11" ht="26.25" customHeight="1" x14ac:dyDescent="0.3">
      <c r="B12" s="581" t="s">
        <v>102</v>
      </c>
      <c r="C12" s="581" t="s">
        <v>103</v>
      </c>
      <c r="D12" s="581" t="s">
        <v>104</v>
      </c>
      <c r="E12" s="583" t="s">
        <v>105</v>
      </c>
      <c r="F12" s="583"/>
    </row>
    <row r="13" spans="2:11" ht="26.25" customHeight="1" x14ac:dyDescent="0.3">
      <c r="B13" s="582"/>
      <c r="C13" s="582"/>
      <c r="D13" s="582"/>
      <c r="E13" s="492" t="s">
        <v>106</v>
      </c>
      <c r="F13" s="492" t="s">
        <v>107</v>
      </c>
    </row>
    <row r="14" spans="2:11" ht="26.25" customHeight="1" x14ac:dyDescent="0.3">
      <c r="B14" s="632" t="s">
        <v>146</v>
      </c>
      <c r="C14" s="638" t="s">
        <v>269</v>
      </c>
      <c r="D14" s="609" t="s">
        <v>66</v>
      </c>
      <c r="E14" s="115" t="s">
        <v>67</v>
      </c>
      <c r="F14" s="150">
        <v>170000</v>
      </c>
    </row>
    <row r="15" spans="2:11" ht="55.5" customHeight="1" x14ac:dyDescent="0.3">
      <c r="B15" s="633"/>
      <c r="C15" s="639"/>
      <c r="D15" s="610"/>
      <c r="E15" s="615" t="s">
        <v>71</v>
      </c>
      <c r="F15" s="636">
        <v>5000</v>
      </c>
      <c r="H15" s="238"/>
      <c r="I15" s="238"/>
      <c r="J15" s="238"/>
      <c r="K15" s="238"/>
    </row>
    <row r="16" spans="2:11" ht="26.25" customHeight="1" x14ac:dyDescent="0.3">
      <c r="B16" s="633"/>
      <c r="C16" s="508" t="s">
        <v>270</v>
      </c>
      <c r="D16" s="610"/>
      <c r="E16" s="617"/>
      <c r="F16" s="637"/>
    </row>
    <row r="17" spans="2:6" ht="39" customHeight="1" x14ac:dyDescent="0.3">
      <c r="B17" s="633"/>
      <c r="C17" s="239" t="s">
        <v>145</v>
      </c>
      <c r="D17" s="166"/>
      <c r="E17" s="116" t="s">
        <v>73</v>
      </c>
      <c r="F17" s="173">
        <v>10000</v>
      </c>
    </row>
    <row r="18" spans="2:6" ht="12" x14ac:dyDescent="0.3">
      <c r="B18" s="633"/>
      <c r="C18" s="621"/>
      <c r="D18" s="622"/>
      <c r="E18" s="271" t="s">
        <v>183</v>
      </c>
      <c r="F18" s="247">
        <f>SUM(F14:F17)</f>
        <v>185000</v>
      </c>
    </row>
    <row r="19" spans="2:6" ht="26.25" customHeight="1" x14ac:dyDescent="0.3">
      <c r="B19" s="633"/>
      <c r="C19" s="568" t="s">
        <v>271</v>
      </c>
      <c r="D19" s="641" t="s">
        <v>2</v>
      </c>
      <c r="E19" s="143" t="s">
        <v>67</v>
      </c>
      <c r="F19" s="130">
        <v>13800</v>
      </c>
    </row>
    <row r="20" spans="2:6" ht="24.75" customHeight="1" x14ac:dyDescent="0.3">
      <c r="B20" s="633"/>
      <c r="C20" s="640"/>
      <c r="D20" s="642"/>
      <c r="E20" s="175" t="s">
        <v>71</v>
      </c>
      <c r="F20" s="130">
        <v>5000</v>
      </c>
    </row>
    <row r="21" spans="2:6" ht="44.25" customHeight="1" x14ac:dyDescent="0.3">
      <c r="B21" s="633"/>
      <c r="C21" s="569"/>
      <c r="D21" s="643"/>
      <c r="E21" s="175" t="s">
        <v>73</v>
      </c>
      <c r="F21" s="130">
        <v>3500</v>
      </c>
    </row>
    <row r="22" spans="2:6" ht="12" x14ac:dyDescent="0.3">
      <c r="B22" s="634"/>
      <c r="C22" s="635"/>
      <c r="D22" s="635"/>
      <c r="E22" s="271" t="s">
        <v>183</v>
      </c>
      <c r="F22" s="247">
        <f>SUM(F19:F21)</f>
        <v>22300</v>
      </c>
    </row>
    <row r="23" spans="2:6" ht="12" x14ac:dyDescent="0.3">
      <c r="B23" s="310" t="s">
        <v>183</v>
      </c>
      <c r="C23" s="618"/>
      <c r="D23" s="619"/>
      <c r="E23" s="620"/>
      <c r="F23" s="247">
        <f>F22+F18</f>
        <v>207300</v>
      </c>
    </row>
    <row r="24" spans="2:6" ht="26.25" customHeight="1" x14ac:dyDescent="0.3">
      <c r="B24" s="623" t="s">
        <v>272</v>
      </c>
      <c r="C24" s="629" t="s">
        <v>147</v>
      </c>
      <c r="D24" s="626" t="s">
        <v>2</v>
      </c>
      <c r="E24" s="143" t="s">
        <v>67</v>
      </c>
      <c r="F24" s="130">
        <v>14700</v>
      </c>
    </row>
    <row r="25" spans="2:6" ht="26.25" customHeight="1" x14ac:dyDescent="0.3">
      <c r="B25" s="624"/>
      <c r="C25" s="630"/>
      <c r="D25" s="627"/>
      <c r="E25" s="175" t="s">
        <v>71</v>
      </c>
      <c r="F25" s="130">
        <v>5000</v>
      </c>
    </row>
    <row r="26" spans="2:6" ht="42" customHeight="1" x14ac:dyDescent="0.3">
      <c r="B26" s="625"/>
      <c r="C26" s="631"/>
      <c r="D26" s="628"/>
      <c r="E26" s="175" t="s">
        <v>73</v>
      </c>
      <c r="F26" s="130">
        <v>3500</v>
      </c>
    </row>
    <row r="27" spans="2:6" ht="12" x14ac:dyDescent="0.3">
      <c r="B27" s="310" t="s">
        <v>183</v>
      </c>
      <c r="C27" s="247"/>
      <c r="D27" s="310"/>
      <c r="E27" s="271"/>
      <c r="F27" s="247">
        <f>SUM(F24:F26)</f>
        <v>23200</v>
      </c>
    </row>
    <row r="28" spans="2:6" ht="45.75" customHeight="1" x14ac:dyDescent="0.3">
      <c r="B28" s="586" t="s">
        <v>273</v>
      </c>
      <c r="C28" s="240" t="s">
        <v>148</v>
      </c>
      <c r="D28" s="600" t="s">
        <v>65</v>
      </c>
      <c r="E28" s="131" t="s">
        <v>67</v>
      </c>
      <c r="F28" s="158">
        <v>167091.79999999999</v>
      </c>
    </row>
    <row r="29" spans="2:6" ht="26.25" customHeight="1" x14ac:dyDescent="0.3">
      <c r="B29" s="587"/>
      <c r="C29" s="240" t="s">
        <v>149</v>
      </c>
      <c r="D29" s="601"/>
      <c r="E29" s="131" t="s">
        <v>71</v>
      </c>
      <c r="F29" s="158">
        <v>26000</v>
      </c>
    </row>
    <row r="30" spans="2:6" ht="42.75" customHeight="1" x14ac:dyDescent="0.3">
      <c r="B30" s="587"/>
      <c r="C30" s="240" t="s">
        <v>150</v>
      </c>
      <c r="D30" s="601"/>
      <c r="E30" s="131" t="s">
        <v>73</v>
      </c>
      <c r="F30" s="158">
        <v>14018.69</v>
      </c>
    </row>
    <row r="31" spans="2:6" ht="12" x14ac:dyDescent="0.3">
      <c r="B31" s="310" t="s">
        <v>183</v>
      </c>
      <c r="C31" s="134"/>
      <c r="D31" s="310"/>
      <c r="E31" s="271"/>
      <c r="F31" s="247">
        <f>SUM(F28:F30)</f>
        <v>207110.49</v>
      </c>
    </row>
    <row r="32" spans="2:6" ht="12" x14ac:dyDescent="0.3">
      <c r="B32" s="462" t="s">
        <v>256</v>
      </c>
      <c r="C32" s="144"/>
      <c r="D32" s="463"/>
      <c r="E32" s="464"/>
      <c r="F32" s="463">
        <f>F31+F27+F22+F18</f>
        <v>437610.49</v>
      </c>
    </row>
    <row r="33" spans="2:7" ht="12" x14ac:dyDescent="0.3">
      <c r="B33" s="194" t="s">
        <v>79</v>
      </c>
      <c r="C33" s="187"/>
      <c r="D33" s="187"/>
      <c r="E33" s="188"/>
      <c r="F33" s="189">
        <f>F32+F10</f>
        <v>834864.49</v>
      </c>
      <c r="G33" s="190"/>
    </row>
    <row r="34" spans="2:7" ht="12" x14ac:dyDescent="0.3">
      <c r="B34" s="191" t="s">
        <v>264</v>
      </c>
      <c r="C34" s="191"/>
      <c r="D34" s="191"/>
      <c r="E34" s="192"/>
      <c r="F34" s="193">
        <f>0.07*F33</f>
        <v>58440.514300000003</v>
      </c>
      <c r="G34" s="190"/>
    </row>
    <row r="35" spans="2:7" ht="12" x14ac:dyDescent="0.3">
      <c r="B35" s="194" t="s">
        <v>77</v>
      </c>
      <c r="C35" s="187"/>
      <c r="D35" s="187"/>
      <c r="E35" s="188"/>
      <c r="F35" s="189">
        <f>SUM(F33:F34)</f>
        <v>893305.00430000003</v>
      </c>
      <c r="G35" s="190"/>
    </row>
    <row r="37" spans="2:7" ht="26.25" customHeight="1" x14ac:dyDescent="0.3">
      <c r="B37" s="195" t="s">
        <v>108</v>
      </c>
      <c r="C37" s="195" t="s">
        <v>2</v>
      </c>
      <c r="D37" s="195" t="s">
        <v>65</v>
      </c>
      <c r="E37" s="196" t="s">
        <v>66</v>
      </c>
      <c r="F37" s="195" t="s">
        <v>1</v>
      </c>
    </row>
    <row r="38" spans="2:7" ht="12" x14ac:dyDescent="0.3">
      <c r="B38" s="141" t="s">
        <v>67</v>
      </c>
      <c r="C38" s="197">
        <f>F7+F19+F24</f>
        <v>314606</v>
      </c>
      <c r="D38" s="198">
        <f>F28</f>
        <v>167091.79999999999</v>
      </c>
      <c r="E38" s="199">
        <f>F14</f>
        <v>170000</v>
      </c>
      <c r="F38" s="200">
        <f t="shared" ref="F38:F43" si="0">SUM(C38:E38)</f>
        <v>651697.80000000005</v>
      </c>
    </row>
    <row r="39" spans="2:7" ht="12" x14ac:dyDescent="0.3">
      <c r="B39" s="141" t="s">
        <v>71</v>
      </c>
      <c r="C39" s="197">
        <f>F8+F20+F25</f>
        <v>45822</v>
      </c>
      <c r="D39" s="198">
        <f>F29</f>
        <v>26000</v>
      </c>
      <c r="E39" s="199">
        <f>F15</f>
        <v>5000</v>
      </c>
      <c r="F39" s="200">
        <f t="shared" si="0"/>
        <v>76822</v>
      </c>
    </row>
    <row r="40" spans="2:7" ht="12" x14ac:dyDescent="0.3">
      <c r="B40" s="142" t="s">
        <v>73</v>
      </c>
      <c r="C40" s="197">
        <f>F9+F21+F26</f>
        <v>82326</v>
      </c>
      <c r="D40" s="198">
        <f>F30</f>
        <v>14018.69</v>
      </c>
      <c r="E40" s="199">
        <f>F17</f>
        <v>10000</v>
      </c>
      <c r="F40" s="200">
        <f t="shared" si="0"/>
        <v>106344.69</v>
      </c>
    </row>
    <row r="41" spans="2:7" ht="12" x14ac:dyDescent="0.3">
      <c r="B41" s="201" t="s">
        <v>79</v>
      </c>
      <c r="C41" s="202">
        <f>SUM(C38:C40)</f>
        <v>442754</v>
      </c>
      <c r="D41" s="202">
        <f>SUM(D38:D40)</f>
        <v>207110.49</v>
      </c>
      <c r="E41" s="203">
        <f>SUM(E38:E40)</f>
        <v>185000</v>
      </c>
      <c r="F41" s="202">
        <f t="shared" si="0"/>
        <v>834864.49</v>
      </c>
      <c r="G41" s="465">
        <f>C57+C68</f>
        <v>834864.49</v>
      </c>
    </row>
    <row r="42" spans="2:7" ht="12" x14ac:dyDescent="0.3">
      <c r="B42" s="191" t="s">
        <v>109</v>
      </c>
      <c r="C42" s="221">
        <f>0.07*C41</f>
        <v>30992.780000000002</v>
      </c>
      <c r="D42" s="198">
        <f>0.07*D41</f>
        <v>14497.7343</v>
      </c>
      <c r="E42" s="241">
        <f>0.07*E41</f>
        <v>12950.000000000002</v>
      </c>
      <c r="F42" s="200">
        <f t="shared" si="0"/>
        <v>58440.514300000003</v>
      </c>
    </row>
    <row r="43" spans="2:7" ht="12" x14ac:dyDescent="0.3">
      <c r="B43" s="210" t="s">
        <v>1</v>
      </c>
      <c r="C43" s="235">
        <f>SUM(C41:C42)</f>
        <v>473746.78</v>
      </c>
      <c r="D43" s="242">
        <f>SUM(D41:D42)</f>
        <v>221608.2243</v>
      </c>
      <c r="E43" s="243">
        <f>SUM(E41:E42)</f>
        <v>197950</v>
      </c>
      <c r="F43" s="211">
        <f t="shared" si="0"/>
        <v>893305.00430000003</v>
      </c>
    </row>
    <row r="45" spans="2:7" ht="12.5" thickBot="1" x14ac:dyDescent="0.35">
      <c r="B45" s="213" t="s">
        <v>274</v>
      </c>
      <c r="C45" s="214">
        <f>'Comparativo 2019'!F10</f>
        <v>442755</v>
      </c>
      <c r="D45" s="214">
        <f>'Comparativo 2019'!G10</f>
        <v>216620</v>
      </c>
      <c r="E45" s="215">
        <f>'Comparativo 2019'!H10</f>
        <v>185000</v>
      </c>
      <c r="F45" s="214">
        <f>'Comparativo 2019'!I10</f>
        <v>844375</v>
      </c>
    </row>
    <row r="46" spans="2:7" ht="26.25" customHeight="1" thickTop="1" x14ac:dyDescent="0.3"/>
    <row r="48" spans="2:7" ht="12" x14ac:dyDescent="0.3">
      <c r="B48" s="589" t="s">
        <v>255</v>
      </c>
      <c r="C48" s="589"/>
      <c r="D48" s="589"/>
      <c r="E48" s="589"/>
      <c r="F48" s="589"/>
    </row>
    <row r="49" spans="2:6" ht="12" x14ac:dyDescent="0.3">
      <c r="B49" s="216" t="s">
        <v>110</v>
      </c>
      <c r="C49" s="217" t="s">
        <v>60</v>
      </c>
      <c r="D49" s="218" t="s">
        <v>2</v>
      </c>
      <c r="E49" s="219" t="s">
        <v>65</v>
      </c>
      <c r="F49" s="218" t="s">
        <v>66</v>
      </c>
    </row>
    <row r="50" spans="2:6" ht="12" x14ac:dyDescent="0.3">
      <c r="B50" s="141" t="s">
        <v>67</v>
      </c>
      <c r="C50" s="220">
        <f>D50+E50+F50</f>
        <v>286106</v>
      </c>
      <c r="D50" s="221">
        <f>F7</f>
        <v>286106</v>
      </c>
      <c r="E50" s="222"/>
      <c r="F50" s="223"/>
    </row>
    <row r="51" spans="2:6" ht="12" x14ac:dyDescent="0.3">
      <c r="B51" s="261" t="s">
        <v>68</v>
      </c>
      <c r="C51" s="220">
        <f t="shared" ref="C51:C56" si="1">D51+E51+F51</f>
        <v>0</v>
      </c>
      <c r="D51" s="221"/>
      <c r="E51" s="222"/>
      <c r="F51" s="223"/>
    </row>
    <row r="52" spans="2:6" ht="12" x14ac:dyDescent="0.3">
      <c r="B52" s="264" t="s">
        <v>69</v>
      </c>
      <c r="C52" s="220">
        <f t="shared" si="1"/>
        <v>0</v>
      </c>
      <c r="D52" s="221"/>
      <c r="E52" s="222"/>
      <c r="F52" s="223"/>
    </row>
    <row r="53" spans="2:6" ht="12" x14ac:dyDescent="0.3">
      <c r="B53" s="261" t="s">
        <v>70</v>
      </c>
      <c r="C53" s="220">
        <f t="shared" si="1"/>
        <v>0</v>
      </c>
      <c r="D53" s="221"/>
      <c r="E53" s="222"/>
      <c r="F53" s="223"/>
    </row>
    <row r="54" spans="2:6" ht="12" x14ac:dyDescent="0.3">
      <c r="B54" s="191" t="s">
        <v>71</v>
      </c>
      <c r="C54" s="220">
        <f t="shared" si="1"/>
        <v>35822</v>
      </c>
      <c r="D54" s="221">
        <f>F8</f>
        <v>35822</v>
      </c>
      <c r="E54" s="222"/>
      <c r="F54" s="223"/>
    </row>
    <row r="55" spans="2:6" ht="12" x14ac:dyDescent="0.3">
      <c r="B55" s="264" t="s">
        <v>72</v>
      </c>
      <c r="C55" s="220">
        <f t="shared" si="1"/>
        <v>0</v>
      </c>
      <c r="D55" s="221"/>
      <c r="E55" s="222"/>
      <c r="F55" s="223"/>
    </row>
    <row r="56" spans="2:6" ht="12" x14ac:dyDescent="0.3">
      <c r="B56" s="192" t="s">
        <v>73</v>
      </c>
      <c r="C56" s="220">
        <f t="shared" si="1"/>
        <v>75326</v>
      </c>
      <c r="D56" s="221">
        <f>F9</f>
        <v>75326</v>
      </c>
      <c r="E56" s="222"/>
      <c r="F56" s="223"/>
    </row>
    <row r="57" spans="2:6" ht="12" x14ac:dyDescent="0.3">
      <c r="B57" s="140" t="s">
        <v>183</v>
      </c>
      <c r="C57" s="224">
        <f>SUM(C50:C56)</f>
        <v>397254</v>
      </c>
      <c r="D57" s="224">
        <f>SUM(D50:D56)</f>
        <v>397254</v>
      </c>
      <c r="E57" s="225">
        <f>SUM(E50:E56)</f>
        <v>0</v>
      </c>
      <c r="F57" s="224">
        <f>SUM(F50:F56)</f>
        <v>0</v>
      </c>
    </row>
    <row r="59" spans="2:6" ht="22.5" customHeight="1" x14ac:dyDescent="0.3">
      <c r="B59" s="576" t="s">
        <v>143</v>
      </c>
      <c r="C59" s="577"/>
      <c r="D59" s="577"/>
      <c r="E59" s="577"/>
      <c r="F59" s="578"/>
    </row>
    <row r="60" spans="2:6" ht="12" x14ac:dyDescent="0.3">
      <c r="B60" s="216" t="s">
        <v>110</v>
      </c>
      <c r="C60" s="217" t="s">
        <v>60</v>
      </c>
      <c r="D60" s="218" t="s">
        <v>2</v>
      </c>
      <c r="E60" s="219" t="s">
        <v>65</v>
      </c>
      <c r="F60" s="218" t="s">
        <v>66</v>
      </c>
    </row>
    <row r="61" spans="2:6" ht="12" x14ac:dyDescent="0.3">
      <c r="B61" s="141" t="s">
        <v>67</v>
      </c>
      <c r="C61" s="220">
        <f>D61+E61+F61</f>
        <v>365591.8</v>
      </c>
      <c r="D61" s="221">
        <f>F19+F24</f>
        <v>28500</v>
      </c>
      <c r="E61" s="222">
        <f>F28</f>
        <v>167091.79999999999</v>
      </c>
      <c r="F61" s="223">
        <f>+E38</f>
        <v>170000</v>
      </c>
    </row>
    <row r="62" spans="2:6" ht="12" x14ac:dyDescent="0.3">
      <c r="B62" s="261" t="s">
        <v>68</v>
      </c>
      <c r="C62" s="220">
        <f t="shared" ref="C62:C67" si="2">D62+E62+F62</f>
        <v>0</v>
      </c>
      <c r="D62" s="221"/>
      <c r="E62" s="222"/>
      <c r="F62" s="223"/>
    </row>
    <row r="63" spans="2:6" ht="12" x14ac:dyDescent="0.3">
      <c r="B63" s="264" t="s">
        <v>69</v>
      </c>
      <c r="C63" s="220">
        <f t="shared" si="2"/>
        <v>0</v>
      </c>
      <c r="D63" s="221"/>
      <c r="E63" s="222"/>
      <c r="F63" s="223"/>
    </row>
    <row r="64" spans="2:6" ht="12" x14ac:dyDescent="0.3">
      <c r="B64" s="261" t="s">
        <v>70</v>
      </c>
      <c r="C64" s="220">
        <f t="shared" si="2"/>
        <v>0</v>
      </c>
      <c r="D64" s="221"/>
      <c r="E64" s="222"/>
      <c r="F64" s="223"/>
    </row>
    <row r="65" spans="2:6" ht="12" x14ac:dyDescent="0.3">
      <c r="B65" s="191" t="s">
        <v>71</v>
      </c>
      <c r="C65" s="220">
        <f t="shared" si="2"/>
        <v>41000</v>
      </c>
      <c r="D65" s="221">
        <f>F25+F20</f>
        <v>10000</v>
      </c>
      <c r="E65" s="222">
        <f>F29</f>
        <v>26000</v>
      </c>
      <c r="F65" s="223">
        <f>+E39</f>
        <v>5000</v>
      </c>
    </row>
    <row r="66" spans="2:6" ht="12" x14ac:dyDescent="0.3">
      <c r="B66" s="264" t="s">
        <v>72</v>
      </c>
      <c r="C66" s="220">
        <f t="shared" si="2"/>
        <v>0</v>
      </c>
      <c r="D66" s="221"/>
      <c r="E66" s="222"/>
      <c r="F66" s="223"/>
    </row>
    <row r="67" spans="2:6" ht="12" x14ac:dyDescent="0.3">
      <c r="B67" s="192" t="s">
        <v>73</v>
      </c>
      <c r="C67" s="220">
        <f t="shared" si="2"/>
        <v>31018.690000000002</v>
      </c>
      <c r="D67" s="221">
        <f>F26+F21</f>
        <v>7000</v>
      </c>
      <c r="E67" s="222">
        <f>F30</f>
        <v>14018.69</v>
      </c>
      <c r="F67" s="223">
        <f>+E40</f>
        <v>10000</v>
      </c>
    </row>
    <row r="68" spans="2:6" ht="12" x14ac:dyDescent="0.3">
      <c r="B68" s="140" t="s">
        <v>183</v>
      </c>
      <c r="C68" s="224">
        <f>SUM(C61:C67)</f>
        <v>437610.49</v>
      </c>
      <c r="D68" s="224">
        <f>SUM(D61:D67)</f>
        <v>45500</v>
      </c>
      <c r="E68" s="225">
        <f>SUM(E61:E67)</f>
        <v>207110.49</v>
      </c>
      <c r="F68" s="224">
        <f>SUM(F61:F67)</f>
        <v>185000</v>
      </c>
    </row>
  </sheetData>
  <mergeCells count="30">
    <mergeCell ref="D19:D21"/>
    <mergeCell ref="B4:F4"/>
    <mergeCell ref="E5:F5"/>
    <mergeCell ref="B11:F11"/>
    <mergeCell ref="B12:B13"/>
    <mergeCell ref="C12:C13"/>
    <mergeCell ref="D12:D13"/>
    <mergeCell ref="D7:D9"/>
    <mergeCell ref="B5:B6"/>
    <mergeCell ref="C5:C6"/>
    <mergeCell ref="D5:D6"/>
    <mergeCell ref="B7:B9"/>
    <mergeCell ref="E12:F12"/>
    <mergeCell ref="C8:C9"/>
    <mergeCell ref="C23:E23"/>
    <mergeCell ref="C18:D18"/>
    <mergeCell ref="B59:F59"/>
    <mergeCell ref="B48:F48"/>
    <mergeCell ref="B28:B30"/>
    <mergeCell ref="D28:D30"/>
    <mergeCell ref="B24:B26"/>
    <mergeCell ref="D24:D26"/>
    <mergeCell ref="C24:C26"/>
    <mergeCell ref="B14:B22"/>
    <mergeCell ref="C22:D22"/>
    <mergeCell ref="F15:F16"/>
    <mergeCell ref="D14:D16"/>
    <mergeCell ref="C14:C15"/>
    <mergeCell ref="E15:E16"/>
    <mergeCell ref="C19:C21"/>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G68"/>
  <sheetViews>
    <sheetView showGridLines="0" topLeftCell="A37" zoomScaleNormal="100" workbookViewId="0">
      <selection activeCell="B59" sqref="B59:F59"/>
    </sheetView>
  </sheetViews>
  <sheetFormatPr defaultColWidth="9.1796875" defaultRowHeight="12" x14ac:dyDescent="0.3"/>
  <cols>
    <col min="1" max="1" width="1.54296875" style="177" customWidth="1"/>
    <col min="2" max="2" width="37.54296875" style="206" customWidth="1"/>
    <col min="3" max="3" width="67.1796875" style="206" customWidth="1"/>
    <col min="4" max="4" width="15.1796875" style="206" customWidth="1"/>
    <col min="5" max="5" width="26.81640625" style="206" customWidth="1"/>
    <col min="6" max="6" width="15.453125" style="206" customWidth="1"/>
    <col min="7" max="7" width="19.453125" style="177" customWidth="1"/>
    <col min="8" max="16384" width="9.1796875" style="177"/>
  </cols>
  <sheetData>
    <row r="2" spans="2:6" x14ac:dyDescent="0.3">
      <c r="B2" s="137" t="s">
        <v>151</v>
      </c>
      <c r="C2" s="137"/>
      <c r="D2" s="137"/>
      <c r="E2" s="137"/>
      <c r="F2" s="138"/>
    </row>
    <row r="3" spans="2:6" ht="38.25" customHeight="1" x14ac:dyDescent="0.3">
      <c r="B3" s="576" t="s">
        <v>143</v>
      </c>
      <c r="C3" s="577"/>
      <c r="D3" s="577"/>
      <c r="E3" s="577"/>
      <c r="F3" s="578"/>
    </row>
    <row r="4" spans="2:6" x14ac:dyDescent="0.3">
      <c r="B4" s="579" t="s">
        <v>102</v>
      </c>
      <c r="C4" s="581" t="s">
        <v>103</v>
      </c>
      <c r="D4" s="581" t="s">
        <v>104</v>
      </c>
      <c r="E4" s="583" t="s">
        <v>105</v>
      </c>
      <c r="F4" s="583"/>
    </row>
    <row r="5" spans="2:6" x14ac:dyDescent="0.3">
      <c r="B5" s="580"/>
      <c r="C5" s="582"/>
      <c r="D5" s="582"/>
      <c r="E5" s="165" t="s">
        <v>106</v>
      </c>
      <c r="F5" s="165" t="s">
        <v>107</v>
      </c>
    </row>
    <row r="6" spans="2:6" ht="18" customHeight="1" x14ac:dyDescent="0.3">
      <c r="B6" s="559" t="s">
        <v>281</v>
      </c>
      <c r="C6" s="131" t="s">
        <v>153</v>
      </c>
      <c r="D6" s="557" t="s">
        <v>65</v>
      </c>
      <c r="E6" s="133" t="s">
        <v>67</v>
      </c>
      <c r="F6" s="148">
        <v>182346.67</v>
      </c>
    </row>
    <row r="7" spans="2:6" ht="25" customHeight="1" x14ac:dyDescent="0.3">
      <c r="B7" s="560"/>
      <c r="C7" s="133" t="s">
        <v>275</v>
      </c>
      <c r="D7" s="557"/>
      <c r="E7" s="647" t="s">
        <v>71</v>
      </c>
      <c r="F7" s="650">
        <v>22000</v>
      </c>
    </row>
    <row r="8" spans="2:6" ht="22.5" customHeight="1" x14ac:dyDescent="0.3">
      <c r="B8" s="560"/>
      <c r="C8" s="507" t="s">
        <v>154</v>
      </c>
      <c r="D8" s="557"/>
      <c r="E8" s="648"/>
      <c r="F8" s="651"/>
    </row>
    <row r="9" spans="2:6" ht="18" customHeight="1" x14ac:dyDescent="0.3">
      <c r="B9" s="560"/>
      <c r="C9" s="507" t="s">
        <v>276</v>
      </c>
      <c r="D9" s="557"/>
      <c r="E9" s="649"/>
      <c r="F9" s="652"/>
    </row>
    <row r="10" spans="2:6" ht="21.65" customHeight="1" x14ac:dyDescent="0.3">
      <c r="B10" s="561"/>
      <c r="C10" s="507" t="s">
        <v>155</v>
      </c>
      <c r="D10" s="557"/>
      <c r="E10" s="163" t="s">
        <v>73</v>
      </c>
      <c r="F10" s="244">
        <v>9345.7900000000009</v>
      </c>
    </row>
    <row r="11" spans="2:6" x14ac:dyDescent="0.2">
      <c r="B11" s="245" t="s">
        <v>183</v>
      </c>
      <c r="C11" s="135"/>
      <c r="D11" s="50"/>
      <c r="E11" s="135"/>
      <c r="F11" s="246">
        <f>SUM(F6:F10)</f>
        <v>213692.46000000002</v>
      </c>
    </row>
    <row r="12" spans="2:6" ht="19.5" customHeight="1" x14ac:dyDescent="0.3">
      <c r="B12" s="612" t="s">
        <v>277</v>
      </c>
      <c r="C12" s="509" t="s">
        <v>157</v>
      </c>
      <c r="D12" s="609" t="s">
        <v>66</v>
      </c>
      <c r="E12" s="115" t="s">
        <v>67</v>
      </c>
      <c r="F12" s="185">
        <v>30645.240000000005</v>
      </c>
    </row>
    <row r="13" spans="2:6" ht="15.65" customHeight="1" x14ac:dyDescent="0.3">
      <c r="B13" s="613"/>
      <c r="C13" s="152" t="s">
        <v>156</v>
      </c>
      <c r="D13" s="610"/>
      <c r="E13" s="172" t="s">
        <v>71</v>
      </c>
      <c r="F13" s="183">
        <v>3405.0266666666671</v>
      </c>
    </row>
    <row r="14" spans="2:6" ht="26.15" customHeight="1" x14ac:dyDescent="0.3">
      <c r="B14" s="614"/>
      <c r="C14" s="152" t="s">
        <v>158</v>
      </c>
      <c r="D14" s="611"/>
      <c r="E14" s="115" t="s">
        <v>73</v>
      </c>
      <c r="F14" s="183">
        <v>0</v>
      </c>
    </row>
    <row r="15" spans="2:6" x14ac:dyDescent="0.2">
      <c r="B15" s="245" t="s">
        <v>183</v>
      </c>
      <c r="C15" s="135"/>
      <c r="D15" s="50"/>
      <c r="E15" s="135"/>
      <c r="F15" s="246">
        <f>SUM(F12:F14)</f>
        <v>34050.26666666667</v>
      </c>
    </row>
    <row r="16" spans="2:6" ht="20.5" customHeight="1" x14ac:dyDescent="0.3">
      <c r="B16" s="598" t="s">
        <v>152</v>
      </c>
      <c r="C16" s="510" t="s">
        <v>159</v>
      </c>
      <c r="D16" s="590" t="s">
        <v>66</v>
      </c>
      <c r="E16" s="115" t="s">
        <v>67</v>
      </c>
      <c r="F16" s="154">
        <v>45967.86</v>
      </c>
    </row>
    <row r="17" spans="2:6" ht="14.5" customHeight="1" x14ac:dyDescent="0.3">
      <c r="B17" s="603"/>
      <c r="C17" s="152" t="s">
        <v>160</v>
      </c>
      <c r="D17" s="591"/>
      <c r="E17" s="136" t="s">
        <v>71</v>
      </c>
      <c r="F17" s="117">
        <v>5107.5400000000009</v>
      </c>
    </row>
    <row r="18" spans="2:6" ht="24" x14ac:dyDescent="0.3">
      <c r="B18" s="603"/>
      <c r="C18" s="152" t="s">
        <v>161</v>
      </c>
      <c r="D18" s="591"/>
      <c r="E18" s="167" t="s">
        <v>73</v>
      </c>
      <c r="F18" s="117">
        <v>0</v>
      </c>
    </row>
    <row r="19" spans="2:6" x14ac:dyDescent="0.3">
      <c r="B19" s="603"/>
      <c r="C19" s="135"/>
      <c r="D19" s="50"/>
      <c r="E19" s="271" t="s">
        <v>183</v>
      </c>
      <c r="F19" s="246">
        <f>SUM(F16:F18)</f>
        <v>51075.4</v>
      </c>
    </row>
    <row r="20" spans="2:6" ht="15.65" customHeight="1" x14ac:dyDescent="0.3">
      <c r="B20" s="603"/>
      <c r="C20" s="568" t="s">
        <v>162</v>
      </c>
      <c r="D20" s="626" t="s">
        <v>2</v>
      </c>
      <c r="E20" s="143" t="s">
        <v>67</v>
      </c>
      <c r="F20" s="130">
        <v>25802</v>
      </c>
    </row>
    <row r="21" spans="2:6" x14ac:dyDescent="0.3">
      <c r="B21" s="603"/>
      <c r="C21" s="640"/>
      <c r="D21" s="627"/>
      <c r="E21" s="475" t="s">
        <v>71</v>
      </c>
      <c r="F21" s="130">
        <v>3132</v>
      </c>
    </row>
    <row r="22" spans="2:6" ht="24" x14ac:dyDescent="0.3">
      <c r="B22" s="603"/>
      <c r="C22" s="569"/>
      <c r="D22" s="627"/>
      <c r="E22" s="473" t="s">
        <v>73</v>
      </c>
      <c r="F22" s="130">
        <v>1427</v>
      </c>
    </row>
    <row r="23" spans="2:6" x14ac:dyDescent="0.3">
      <c r="B23" s="599"/>
      <c r="C23" s="135"/>
      <c r="D23" s="135"/>
      <c r="E23" s="271" t="s">
        <v>183</v>
      </c>
      <c r="F23" s="246">
        <f>SUM(F20:F22)</f>
        <v>30361</v>
      </c>
    </row>
    <row r="24" spans="2:6" x14ac:dyDescent="0.2">
      <c r="B24" s="245" t="s">
        <v>183</v>
      </c>
      <c r="C24" s="135"/>
      <c r="D24" s="50"/>
      <c r="E24" s="135"/>
      <c r="F24" s="246">
        <f>SUM(F19+F23)</f>
        <v>81436.399999999994</v>
      </c>
    </row>
    <row r="25" spans="2:6" ht="32.15" customHeight="1" x14ac:dyDescent="0.3">
      <c r="B25" s="644" t="s">
        <v>278</v>
      </c>
      <c r="C25" s="511" t="s">
        <v>163</v>
      </c>
      <c r="D25" s="626" t="s">
        <v>2</v>
      </c>
      <c r="E25" s="171" t="s">
        <v>67</v>
      </c>
      <c r="F25" s="174">
        <f>51603+51603</f>
        <v>103206</v>
      </c>
    </row>
    <row r="26" spans="2:6" ht="28.5" customHeight="1" x14ac:dyDescent="0.3">
      <c r="B26" s="645"/>
      <c r="C26" s="130" t="s">
        <v>279</v>
      </c>
      <c r="D26" s="627"/>
      <c r="E26" s="573" t="s">
        <v>71</v>
      </c>
      <c r="F26" s="623">
        <f>6263+6263</f>
        <v>12526</v>
      </c>
    </row>
    <row r="27" spans="2:6" ht="23.15" customHeight="1" x14ac:dyDescent="0.3">
      <c r="B27" s="645"/>
      <c r="C27" s="130" t="s">
        <v>164</v>
      </c>
      <c r="D27" s="627"/>
      <c r="E27" s="575"/>
      <c r="F27" s="625"/>
    </row>
    <row r="28" spans="2:6" ht="15.65" customHeight="1" x14ac:dyDescent="0.3">
      <c r="B28" s="645"/>
      <c r="C28" s="130" t="s">
        <v>165</v>
      </c>
      <c r="D28" s="627"/>
      <c r="E28" s="568" t="s">
        <v>73</v>
      </c>
      <c r="F28" s="623">
        <f>2854+2854</f>
        <v>5708</v>
      </c>
    </row>
    <row r="29" spans="2:6" ht="26.15" customHeight="1" x14ac:dyDescent="0.3">
      <c r="B29" s="645"/>
      <c r="C29" s="512" t="s">
        <v>166</v>
      </c>
      <c r="D29" s="627"/>
      <c r="E29" s="640"/>
      <c r="F29" s="624"/>
    </row>
    <row r="30" spans="2:6" ht="24" customHeight="1" x14ac:dyDescent="0.3">
      <c r="B30" s="646"/>
      <c r="C30" s="130" t="s">
        <v>280</v>
      </c>
      <c r="D30" s="628"/>
      <c r="E30" s="569"/>
      <c r="F30" s="625"/>
    </row>
    <row r="31" spans="2:6" x14ac:dyDescent="0.2">
      <c r="B31" s="245" t="s">
        <v>183</v>
      </c>
      <c r="C31" s="135"/>
      <c r="D31" s="50"/>
      <c r="E31" s="135"/>
      <c r="F31" s="246">
        <f>SUM(F25:F30)</f>
        <v>121440</v>
      </c>
    </row>
    <row r="32" spans="2:6" x14ac:dyDescent="0.2">
      <c r="B32" s="194" t="s">
        <v>79</v>
      </c>
      <c r="C32" s="187"/>
      <c r="D32" s="187"/>
      <c r="E32" s="187"/>
      <c r="F32" s="272">
        <f>F31+F24+F15+F11</f>
        <v>450619.12666666671</v>
      </c>
    </row>
    <row r="33" spans="2:7" x14ac:dyDescent="0.2">
      <c r="B33" s="191" t="s">
        <v>264</v>
      </c>
      <c r="C33" s="191"/>
      <c r="D33" s="191"/>
      <c r="E33" s="191"/>
      <c r="F33" s="231">
        <f>0.07*F32</f>
        <v>31543.338866666672</v>
      </c>
      <c r="G33" s="248">
        <f>C57+C68</f>
        <v>450619.12666666665</v>
      </c>
    </row>
    <row r="34" spans="2:7" x14ac:dyDescent="0.2">
      <c r="B34" s="194" t="s">
        <v>77</v>
      </c>
      <c r="C34" s="187"/>
      <c r="D34" s="187"/>
      <c r="E34" s="187"/>
      <c r="F34" s="272">
        <f>F33+F32</f>
        <v>482162.46553333336</v>
      </c>
    </row>
    <row r="36" spans="2:7" x14ac:dyDescent="0.2">
      <c r="G36" s="251"/>
    </row>
    <row r="37" spans="2:7" x14ac:dyDescent="0.2">
      <c r="G37" s="251"/>
    </row>
    <row r="38" spans="2:7" x14ac:dyDescent="0.2">
      <c r="B38" s="195" t="s">
        <v>108</v>
      </c>
      <c r="C38" s="195" t="s">
        <v>2</v>
      </c>
      <c r="D38" s="195" t="s">
        <v>65</v>
      </c>
      <c r="E38" s="195" t="s">
        <v>66</v>
      </c>
      <c r="F38" s="195" t="s">
        <v>1</v>
      </c>
      <c r="G38" s="253"/>
    </row>
    <row r="39" spans="2:7" x14ac:dyDescent="0.2">
      <c r="B39" s="141" t="s">
        <v>67</v>
      </c>
      <c r="C39" s="197">
        <f>F20+F25</f>
        <v>129008</v>
      </c>
      <c r="D39" s="198">
        <f>F6</f>
        <v>182346.67</v>
      </c>
      <c r="E39" s="232">
        <f>F12+F16</f>
        <v>76613.100000000006</v>
      </c>
      <c r="F39" s="200">
        <f t="shared" ref="F39:F44" si="0">SUM(C39:E39)</f>
        <v>387967.77</v>
      </c>
    </row>
    <row r="40" spans="2:7" x14ac:dyDescent="0.2">
      <c r="B40" s="141" t="s">
        <v>71</v>
      </c>
      <c r="C40" s="197">
        <f>F26+F21</f>
        <v>15658</v>
      </c>
      <c r="D40" s="198">
        <f>F7</f>
        <v>22000</v>
      </c>
      <c r="E40" s="232">
        <f>F17+F13</f>
        <v>8512.5666666666675</v>
      </c>
      <c r="F40" s="200">
        <f t="shared" si="0"/>
        <v>46170.566666666666</v>
      </c>
    </row>
    <row r="41" spans="2:7" x14ac:dyDescent="0.2">
      <c r="B41" s="142" t="s">
        <v>73</v>
      </c>
      <c r="C41" s="197">
        <f>F28+F22</f>
        <v>7135</v>
      </c>
      <c r="D41" s="198">
        <f>F10</f>
        <v>9345.7900000000009</v>
      </c>
      <c r="E41" s="232">
        <f>F18+F14</f>
        <v>0</v>
      </c>
      <c r="F41" s="200">
        <f t="shared" si="0"/>
        <v>16480.79</v>
      </c>
    </row>
    <row r="42" spans="2:7" x14ac:dyDescent="0.2">
      <c r="B42" s="201" t="s">
        <v>79</v>
      </c>
      <c r="C42" s="202">
        <f>SUM(C39:C41)</f>
        <v>151801</v>
      </c>
      <c r="D42" s="202">
        <f>SUM(D39:D41)</f>
        <v>213692.46000000002</v>
      </c>
      <c r="E42" s="202">
        <f>SUM(E39:E41)</f>
        <v>85125.666666666672</v>
      </c>
      <c r="F42" s="202">
        <f t="shared" si="0"/>
        <v>450619.12666666671</v>
      </c>
    </row>
    <row r="43" spans="2:7" x14ac:dyDescent="0.2">
      <c r="B43" s="191" t="s">
        <v>109</v>
      </c>
      <c r="C43" s="221">
        <f>C42*0.07</f>
        <v>10626.070000000002</v>
      </c>
      <c r="D43" s="198">
        <f>0.07*D42</f>
        <v>14958.472200000004</v>
      </c>
      <c r="E43" s="223">
        <f>0.07*E42</f>
        <v>5958.796666666668</v>
      </c>
      <c r="F43" s="200">
        <f t="shared" si="0"/>
        <v>31543.338866666672</v>
      </c>
    </row>
    <row r="44" spans="2:7" x14ac:dyDescent="0.2">
      <c r="B44" s="210" t="s">
        <v>1</v>
      </c>
      <c r="C44" s="235">
        <f>C43+C42</f>
        <v>162427.07</v>
      </c>
      <c r="D44" s="242">
        <f>D42+D43</f>
        <v>228650.93220000004</v>
      </c>
      <c r="E44" s="249">
        <f>E43+E42</f>
        <v>91084.463333333333</v>
      </c>
      <c r="F44" s="211">
        <f t="shared" si="0"/>
        <v>482162.46553333336</v>
      </c>
    </row>
    <row r="45" spans="2:7" x14ac:dyDescent="0.2">
      <c r="B45" s="250"/>
      <c r="C45" s="250"/>
      <c r="D45" s="250"/>
      <c r="E45" s="250"/>
      <c r="F45" s="250"/>
    </row>
    <row r="46" spans="2:7" ht="24.5" thickBot="1" x14ac:dyDescent="0.35">
      <c r="B46" s="213" t="s">
        <v>274</v>
      </c>
      <c r="C46" s="252">
        <f>'Comparativo 2019'!F15</f>
        <v>151801</v>
      </c>
      <c r="D46" s="252">
        <f>'Comparativo 2019'!G15</f>
        <v>264480</v>
      </c>
      <c r="E46" s="252">
        <f>'Comparativo 2019'!H15</f>
        <v>85126</v>
      </c>
      <c r="F46" s="252">
        <f>'Comparativo 2019'!I15</f>
        <v>501407</v>
      </c>
    </row>
    <row r="47" spans="2:7" ht="12.75" thickTop="1" x14ac:dyDescent="0.2">
      <c r="B47" s="236"/>
      <c r="C47" s="236"/>
      <c r="D47" s="236"/>
      <c r="E47" s="236"/>
      <c r="F47" s="236"/>
    </row>
    <row r="48" spans="2:7" x14ac:dyDescent="0.3">
      <c r="B48" s="589" t="s">
        <v>255</v>
      </c>
      <c r="C48" s="589"/>
      <c r="D48" s="589"/>
      <c r="E48" s="589"/>
      <c r="F48" s="589"/>
    </row>
    <row r="49" spans="2:6" x14ac:dyDescent="0.3">
      <c r="B49" s="216" t="s">
        <v>110</v>
      </c>
      <c r="C49" s="217" t="s">
        <v>60</v>
      </c>
      <c r="D49" s="218" t="s">
        <v>2</v>
      </c>
      <c r="E49" s="237" t="s">
        <v>65</v>
      </c>
      <c r="F49" s="218" t="s">
        <v>66</v>
      </c>
    </row>
    <row r="50" spans="2:6" x14ac:dyDescent="0.2">
      <c r="B50" s="141" t="s">
        <v>67</v>
      </c>
      <c r="C50" s="220">
        <f>D50+E50+F50</f>
        <v>0</v>
      </c>
      <c r="D50" s="221"/>
      <c r="E50" s="198"/>
      <c r="F50" s="223"/>
    </row>
    <row r="51" spans="2:6" x14ac:dyDescent="0.2">
      <c r="B51" s="261" t="s">
        <v>68</v>
      </c>
      <c r="C51" s="220">
        <f t="shared" ref="C51:C56" si="1">D51+E51+F51</f>
        <v>0</v>
      </c>
      <c r="D51" s="221"/>
      <c r="E51" s="198"/>
      <c r="F51" s="223"/>
    </row>
    <row r="52" spans="2:6" ht="24" x14ac:dyDescent="0.3">
      <c r="B52" s="264" t="s">
        <v>69</v>
      </c>
      <c r="C52" s="220">
        <f t="shared" si="1"/>
        <v>0</v>
      </c>
      <c r="D52" s="221"/>
      <c r="E52" s="198"/>
      <c r="F52" s="223"/>
    </row>
    <row r="53" spans="2:6" x14ac:dyDescent="0.2">
      <c r="B53" s="261" t="s">
        <v>70</v>
      </c>
      <c r="C53" s="220">
        <f t="shared" si="1"/>
        <v>0</v>
      </c>
      <c r="D53" s="221"/>
      <c r="E53" s="198"/>
      <c r="F53" s="223"/>
    </row>
    <row r="54" spans="2:6" x14ac:dyDescent="0.2">
      <c r="B54" s="191" t="s">
        <v>71</v>
      </c>
      <c r="C54" s="220">
        <f t="shared" si="1"/>
        <v>0</v>
      </c>
      <c r="D54" s="221"/>
      <c r="E54" s="198"/>
      <c r="F54" s="223"/>
    </row>
    <row r="55" spans="2:6" x14ac:dyDescent="0.2">
      <c r="B55" s="264" t="s">
        <v>72</v>
      </c>
      <c r="C55" s="220">
        <f t="shared" si="1"/>
        <v>0</v>
      </c>
      <c r="D55" s="221"/>
      <c r="E55" s="198"/>
      <c r="F55" s="223"/>
    </row>
    <row r="56" spans="2:6" ht="24" x14ac:dyDescent="0.2">
      <c r="B56" s="192" t="s">
        <v>73</v>
      </c>
      <c r="C56" s="220">
        <f t="shared" si="1"/>
        <v>0</v>
      </c>
      <c r="D56" s="221"/>
      <c r="E56" s="198"/>
      <c r="F56" s="223"/>
    </row>
    <row r="57" spans="2:6" x14ac:dyDescent="0.2">
      <c r="B57" s="513" t="s">
        <v>183</v>
      </c>
      <c r="C57" s="224">
        <f>SUM(C50:C56)</f>
        <v>0</v>
      </c>
      <c r="D57" s="224">
        <f>SUM(D50:D56)</f>
        <v>0</v>
      </c>
      <c r="E57" s="224">
        <f>SUM(E50:E56)</f>
        <v>0</v>
      </c>
      <c r="F57" s="224">
        <f>SUM(F50:F56)</f>
        <v>0</v>
      </c>
    </row>
    <row r="59" spans="2:6" ht="33" customHeight="1" x14ac:dyDescent="0.3">
      <c r="B59" s="576" t="s">
        <v>143</v>
      </c>
      <c r="C59" s="577"/>
      <c r="D59" s="577"/>
      <c r="E59" s="577"/>
      <c r="F59" s="578"/>
    </row>
    <row r="60" spans="2:6" x14ac:dyDescent="0.3">
      <c r="B60" s="216" t="s">
        <v>110</v>
      </c>
      <c r="C60" s="217" t="s">
        <v>60</v>
      </c>
      <c r="D60" s="218" t="s">
        <v>2</v>
      </c>
      <c r="E60" s="237" t="s">
        <v>65</v>
      </c>
      <c r="F60" s="218" t="s">
        <v>66</v>
      </c>
    </row>
    <row r="61" spans="2:6" x14ac:dyDescent="0.2">
      <c r="B61" s="141" t="s">
        <v>67</v>
      </c>
      <c r="C61" s="220">
        <f>D61+E61+F61</f>
        <v>387967.77</v>
      </c>
      <c r="D61" s="221">
        <f>C39</f>
        <v>129008</v>
      </c>
      <c r="E61" s="198">
        <f>+D39</f>
        <v>182346.67</v>
      </c>
      <c r="F61" s="223">
        <f>+E39</f>
        <v>76613.100000000006</v>
      </c>
    </row>
    <row r="62" spans="2:6" x14ac:dyDescent="0.3">
      <c r="B62" s="261" t="s">
        <v>68</v>
      </c>
      <c r="C62" s="220">
        <f t="shared" ref="C62:C67" si="2">D62+E62+F62</f>
        <v>0</v>
      </c>
      <c r="D62" s="221"/>
      <c r="E62" s="198"/>
      <c r="F62" s="223"/>
    </row>
    <row r="63" spans="2:6" ht="24" x14ac:dyDescent="0.3">
      <c r="B63" s="264" t="s">
        <v>69</v>
      </c>
      <c r="C63" s="220">
        <f t="shared" si="2"/>
        <v>0</v>
      </c>
      <c r="D63" s="221"/>
      <c r="E63" s="198"/>
      <c r="F63" s="223"/>
    </row>
    <row r="64" spans="2:6" x14ac:dyDescent="0.3">
      <c r="B64" s="261" t="s">
        <v>70</v>
      </c>
      <c r="C64" s="220">
        <f t="shared" si="2"/>
        <v>0</v>
      </c>
      <c r="D64" s="221"/>
      <c r="E64" s="198"/>
      <c r="F64" s="223"/>
    </row>
    <row r="65" spans="2:6" x14ac:dyDescent="0.3">
      <c r="B65" s="191" t="s">
        <v>71</v>
      </c>
      <c r="C65" s="220">
        <f t="shared" si="2"/>
        <v>46170.566666666666</v>
      </c>
      <c r="D65" s="221">
        <f>C40</f>
        <v>15658</v>
      </c>
      <c r="E65" s="198">
        <f>+D40</f>
        <v>22000</v>
      </c>
      <c r="F65" s="223">
        <f>+E40</f>
        <v>8512.5666666666675</v>
      </c>
    </row>
    <row r="66" spans="2:6" x14ac:dyDescent="0.3">
      <c r="B66" s="264" t="s">
        <v>72</v>
      </c>
      <c r="C66" s="220">
        <f t="shared" si="2"/>
        <v>0</v>
      </c>
      <c r="D66" s="221"/>
      <c r="E66" s="198"/>
      <c r="F66" s="223"/>
    </row>
    <row r="67" spans="2:6" ht="24" x14ac:dyDescent="0.3">
      <c r="B67" s="192" t="s">
        <v>73</v>
      </c>
      <c r="C67" s="220">
        <f t="shared" si="2"/>
        <v>16480.79</v>
      </c>
      <c r="D67" s="221">
        <f>C41</f>
        <v>7135</v>
      </c>
      <c r="E67" s="198">
        <f>+D41</f>
        <v>9345.7900000000009</v>
      </c>
      <c r="F67" s="223">
        <f>+E41</f>
        <v>0</v>
      </c>
    </row>
    <row r="68" spans="2:6" x14ac:dyDescent="0.3">
      <c r="B68" s="140" t="s">
        <v>183</v>
      </c>
      <c r="C68" s="224">
        <f>SUM(C61:C67)</f>
        <v>450619.12666666665</v>
      </c>
      <c r="D68" s="224">
        <f>SUM(D61:D67)</f>
        <v>151801</v>
      </c>
      <c r="E68" s="224">
        <f>SUM(E61:E67)</f>
        <v>213692.46000000002</v>
      </c>
      <c r="F68" s="224">
        <f>SUM(F61:F67)</f>
        <v>85125.666666666672</v>
      </c>
    </row>
  </sheetData>
  <mergeCells count="23">
    <mergeCell ref="B6:B10"/>
    <mergeCell ref="E28:E30"/>
    <mergeCell ref="F28:F30"/>
    <mergeCell ref="D25:D30"/>
    <mergeCell ref="B25:B30"/>
    <mergeCell ref="F26:F27"/>
    <mergeCell ref="D6:D10"/>
    <mergeCell ref="B12:B14"/>
    <mergeCell ref="C20:C22"/>
    <mergeCell ref="D20:D22"/>
    <mergeCell ref="B16:B23"/>
    <mergeCell ref="E7:E9"/>
    <mergeCell ref="F7:F9"/>
    <mergeCell ref="B3:F3"/>
    <mergeCell ref="B4:B5"/>
    <mergeCell ref="C4:C5"/>
    <mergeCell ref="D4:D5"/>
    <mergeCell ref="E4:F4"/>
    <mergeCell ref="B59:F59"/>
    <mergeCell ref="B48:F48"/>
    <mergeCell ref="E26:E27"/>
    <mergeCell ref="D12:D14"/>
    <mergeCell ref="D16:D18"/>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L62"/>
  <sheetViews>
    <sheetView showGridLines="0" zoomScaleNormal="100" workbookViewId="0">
      <selection activeCell="C15" sqref="C15"/>
    </sheetView>
  </sheetViews>
  <sheetFormatPr defaultColWidth="9.1796875" defaultRowHeight="12" x14ac:dyDescent="0.3"/>
  <cols>
    <col min="1" max="1" width="1.81640625" style="177" customWidth="1"/>
    <col min="2" max="2" width="57.81640625" style="206" customWidth="1"/>
    <col min="3" max="3" width="54.54296875" style="206" customWidth="1"/>
    <col min="4" max="4" width="16.26953125" style="206" customWidth="1"/>
    <col min="5" max="5" width="20.7265625" style="207" customWidth="1"/>
    <col min="6" max="6" width="11.1796875" style="206" customWidth="1"/>
    <col min="7" max="7" width="13.7265625" style="177" customWidth="1"/>
    <col min="8" max="16384" width="9.1796875" style="177"/>
  </cols>
  <sheetData>
    <row r="3" spans="2:6" x14ac:dyDescent="0.3">
      <c r="B3" s="137" t="s">
        <v>167</v>
      </c>
      <c r="C3" s="137"/>
      <c r="D3" s="137"/>
      <c r="E3" s="159"/>
      <c r="F3" s="138"/>
    </row>
    <row r="4" spans="2:6" ht="12" customHeight="1" x14ac:dyDescent="0.3">
      <c r="B4" s="659" t="s">
        <v>254</v>
      </c>
      <c r="C4" s="660"/>
      <c r="D4" s="660"/>
      <c r="E4" s="660"/>
      <c r="F4" s="661"/>
    </row>
    <row r="5" spans="2:6" x14ac:dyDescent="0.3">
      <c r="B5" s="583" t="s">
        <v>102</v>
      </c>
      <c r="C5" s="583" t="s">
        <v>103</v>
      </c>
      <c r="D5" s="583" t="s">
        <v>104</v>
      </c>
      <c r="E5" s="583" t="s">
        <v>105</v>
      </c>
      <c r="F5" s="583"/>
    </row>
    <row r="6" spans="2:6" x14ac:dyDescent="0.3">
      <c r="B6" s="583"/>
      <c r="C6" s="583"/>
      <c r="D6" s="583"/>
      <c r="E6" s="165" t="s">
        <v>110</v>
      </c>
      <c r="F6" s="165" t="s">
        <v>107</v>
      </c>
    </row>
    <row r="7" spans="2:6" ht="24" x14ac:dyDescent="0.3">
      <c r="B7" s="640" t="s">
        <v>168</v>
      </c>
      <c r="C7" s="127" t="s">
        <v>286</v>
      </c>
      <c r="D7" s="565" t="s">
        <v>2</v>
      </c>
      <c r="E7" s="170" t="s">
        <v>67</v>
      </c>
      <c r="F7" s="229">
        <v>123052.95305235332</v>
      </c>
    </row>
    <row r="8" spans="2:6" ht="36" x14ac:dyDescent="0.3">
      <c r="B8" s="640"/>
      <c r="C8" s="129" t="s">
        <v>287</v>
      </c>
      <c r="D8" s="566"/>
      <c r="E8" s="175" t="s">
        <v>71</v>
      </c>
      <c r="F8" s="178">
        <v>9654.7464466446672</v>
      </c>
    </row>
    <row r="9" spans="2:6" ht="36" x14ac:dyDescent="0.3">
      <c r="B9" s="569"/>
      <c r="C9" s="129" t="s">
        <v>169</v>
      </c>
      <c r="D9" s="567"/>
      <c r="E9" s="175" t="s">
        <v>73</v>
      </c>
      <c r="F9" s="178">
        <v>118.34551107717755</v>
      </c>
    </row>
    <row r="10" spans="2:6" x14ac:dyDescent="0.2">
      <c r="B10" s="245" t="s">
        <v>256</v>
      </c>
      <c r="C10" s="135"/>
      <c r="D10" s="50"/>
      <c r="E10" s="135"/>
      <c r="F10" s="246">
        <f>SUM(F7:F9)</f>
        <v>132826.04501007515</v>
      </c>
    </row>
    <row r="11" spans="2:6" ht="30.75" customHeight="1" x14ac:dyDescent="0.3">
      <c r="B11" s="576" t="s">
        <v>143</v>
      </c>
      <c r="C11" s="577"/>
      <c r="D11" s="577"/>
      <c r="E11" s="577"/>
      <c r="F11" s="578"/>
    </row>
    <row r="12" spans="2:6" x14ac:dyDescent="0.3">
      <c r="B12" s="581" t="s">
        <v>102</v>
      </c>
      <c r="C12" s="581" t="s">
        <v>103</v>
      </c>
      <c r="D12" s="581" t="s">
        <v>104</v>
      </c>
      <c r="E12" s="583" t="s">
        <v>105</v>
      </c>
      <c r="F12" s="583"/>
    </row>
    <row r="13" spans="2:6" x14ac:dyDescent="0.3">
      <c r="B13" s="582"/>
      <c r="C13" s="582"/>
      <c r="D13" s="582"/>
      <c r="E13" s="165" t="s">
        <v>110</v>
      </c>
      <c r="F13" s="165" t="s">
        <v>107</v>
      </c>
    </row>
    <row r="14" spans="2:6" ht="45" customHeight="1" x14ac:dyDescent="0.3">
      <c r="B14" s="559" t="s">
        <v>282</v>
      </c>
      <c r="C14" s="180" t="s">
        <v>283</v>
      </c>
      <c r="D14" s="607" t="s">
        <v>65</v>
      </c>
      <c r="E14" s="131" t="s">
        <v>67</v>
      </c>
      <c r="F14" s="148">
        <v>134361.99</v>
      </c>
    </row>
    <row r="15" spans="2:6" ht="24" x14ac:dyDescent="0.3">
      <c r="B15" s="560"/>
      <c r="C15" s="180" t="s">
        <v>171</v>
      </c>
      <c r="D15" s="557"/>
      <c r="E15" s="131" t="s">
        <v>71</v>
      </c>
      <c r="F15" s="148">
        <v>20000</v>
      </c>
    </row>
    <row r="16" spans="2:6" ht="36" x14ac:dyDescent="0.3">
      <c r="B16" s="560"/>
      <c r="C16" s="559" t="s">
        <v>284</v>
      </c>
      <c r="D16" s="557"/>
      <c r="E16" s="131" t="s">
        <v>73</v>
      </c>
      <c r="F16" s="148">
        <v>9345.7900000000009</v>
      </c>
    </row>
    <row r="17" spans="2:12" x14ac:dyDescent="0.3">
      <c r="B17" s="561"/>
      <c r="C17" s="561"/>
      <c r="D17" s="558"/>
      <c r="E17" s="132"/>
      <c r="F17" s="254"/>
    </row>
    <row r="18" spans="2:12" x14ac:dyDescent="0.3">
      <c r="B18" s="245" t="s">
        <v>183</v>
      </c>
      <c r="C18" s="135"/>
      <c r="D18" s="50"/>
      <c r="E18" s="135" t="s">
        <v>183</v>
      </c>
      <c r="F18" s="246">
        <f>SUM(F14:F16)</f>
        <v>163707.78</v>
      </c>
    </row>
    <row r="19" spans="2:12" ht="24" x14ac:dyDescent="0.3">
      <c r="B19" s="654" t="s">
        <v>285</v>
      </c>
      <c r="C19" s="130" t="s">
        <v>172</v>
      </c>
      <c r="D19" s="653" t="s">
        <v>2</v>
      </c>
      <c r="E19" s="175" t="s">
        <v>67</v>
      </c>
      <c r="F19" s="178">
        <v>52736.979879579994</v>
      </c>
    </row>
    <row r="20" spans="2:12" x14ac:dyDescent="0.3">
      <c r="B20" s="655"/>
      <c r="C20" s="623" t="s">
        <v>173</v>
      </c>
      <c r="D20" s="653"/>
      <c r="E20" s="175" t="s">
        <v>71</v>
      </c>
      <c r="F20" s="178">
        <v>4137.7484771334284</v>
      </c>
    </row>
    <row r="21" spans="2:12" ht="36" x14ac:dyDescent="0.3">
      <c r="B21" s="656"/>
      <c r="C21" s="625"/>
      <c r="D21" s="653"/>
      <c r="E21" s="175" t="s">
        <v>73</v>
      </c>
      <c r="F21" s="178">
        <v>50.719504747361803</v>
      </c>
    </row>
    <row r="22" spans="2:12" x14ac:dyDescent="0.3">
      <c r="B22" s="245" t="s">
        <v>183</v>
      </c>
      <c r="C22" s="135"/>
      <c r="D22" s="50"/>
      <c r="E22" s="135"/>
      <c r="F22" s="246">
        <f>SUM(F19:F21)</f>
        <v>56925.447861460787</v>
      </c>
    </row>
    <row r="23" spans="2:12" ht="27.75" customHeight="1" x14ac:dyDescent="0.3">
      <c r="B23" s="657" t="s">
        <v>170</v>
      </c>
      <c r="C23" s="510" t="s">
        <v>174</v>
      </c>
      <c r="D23" s="591" t="s">
        <v>66</v>
      </c>
      <c r="E23" s="116" t="s">
        <v>67</v>
      </c>
      <c r="F23" s="154">
        <v>41000</v>
      </c>
      <c r="H23" s="184"/>
      <c r="I23" s="184"/>
      <c r="J23" s="184"/>
      <c r="K23" s="184"/>
      <c r="L23" s="184"/>
    </row>
    <row r="24" spans="2:12" ht="23.25" customHeight="1" x14ac:dyDescent="0.3">
      <c r="B24" s="658"/>
      <c r="C24" s="117" t="s">
        <v>175</v>
      </c>
      <c r="D24" s="591"/>
      <c r="E24" s="116" t="s">
        <v>71</v>
      </c>
      <c r="F24" s="154">
        <v>5000</v>
      </c>
    </row>
    <row r="25" spans="2:12" x14ac:dyDescent="0.3">
      <c r="B25" s="245" t="s">
        <v>183</v>
      </c>
      <c r="C25" s="135"/>
      <c r="D25" s="50"/>
      <c r="E25" s="135"/>
      <c r="F25" s="246">
        <f>SUM(F23:F24)</f>
        <v>46000</v>
      </c>
    </row>
    <row r="26" spans="2:12" x14ac:dyDescent="0.3">
      <c r="B26" s="462" t="s">
        <v>256</v>
      </c>
      <c r="C26" s="463"/>
      <c r="D26" s="463"/>
      <c r="E26" s="464"/>
      <c r="F26" s="463">
        <f>F25+F22+F18</f>
        <v>266633.22786146076</v>
      </c>
    </row>
    <row r="27" spans="2:12" x14ac:dyDescent="0.3">
      <c r="B27" s="194" t="s">
        <v>79</v>
      </c>
      <c r="C27" s="187"/>
      <c r="D27" s="187"/>
      <c r="E27" s="188"/>
      <c r="F27" s="189">
        <f>F26+F10</f>
        <v>399459.27287153591</v>
      </c>
    </row>
    <row r="28" spans="2:12" x14ac:dyDescent="0.3">
      <c r="B28" s="191" t="s">
        <v>264</v>
      </c>
      <c r="C28" s="191"/>
      <c r="D28" s="191"/>
      <c r="E28" s="192"/>
      <c r="F28" s="193">
        <f>0.07*F27</f>
        <v>27962.149101007515</v>
      </c>
    </row>
    <row r="29" spans="2:12" x14ac:dyDescent="0.3">
      <c r="B29" s="194" t="s">
        <v>77</v>
      </c>
      <c r="C29" s="187"/>
      <c r="D29" s="187"/>
      <c r="E29" s="188"/>
      <c r="F29" s="255">
        <f>SUM(F27:F28)</f>
        <v>427421.42197254341</v>
      </c>
    </row>
    <row r="32" spans="2:12" x14ac:dyDescent="0.3">
      <c r="B32" s="195" t="s">
        <v>108</v>
      </c>
      <c r="C32" s="195" t="s">
        <v>2</v>
      </c>
      <c r="D32" s="195" t="s">
        <v>65</v>
      </c>
      <c r="E32" s="196" t="s">
        <v>66</v>
      </c>
      <c r="F32" s="195" t="s">
        <v>1</v>
      </c>
    </row>
    <row r="33" spans="2:7" x14ac:dyDescent="0.3">
      <c r="B33" s="141" t="s">
        <v>67</v>
      </c>
      <c r="C33" s="197">
        <f>F19+F7</f>
        <v>175789.93293193332</v>
      </c>
      <c r="D33" s="198">
        <f>F14</f>
        <v>134361.99</v>
      </c>
      <c r="E33" s="199">
        <f>F23</f>
        <v>41000</v>
      </c>
      <c r="F33" s="200">
        <f>SUM(C33:E33)</f>
        <v>351151.92293193331</v>
      </c>
    </row>
    <row r="34" spans="2:7" x14ac:dyDescent="0.3">
      <c r="B34" s="141" t="s">
        <v>71</v>
      </c>
      <c r="C34" s="197">
        <f>F20+F8</f>
        <v>13792.494923778097</v>
      </c>
      <c r="D34" s="198">
        <f>F15</f>
        <v>20000</v>
      </c>
      <c r="E34" s="199">
        <f>F24</f>
        <v>5000</v>
      </c>
      <c r="F34" s="200">
        <f>SUM(C34:E34)</f>
        <v>38792.494923778097</v>
      </c>
    </row>
    <row r="35" spans="2:7" x14ac:dyDescent="0.3">
      <c r="B35" s="142" t="s">
        <v>73</v>
      </c>
      <c r="C35" s="197">
        <f>F21+F9</f>
        <v>169.06501582453936</v>
      </c>
      <c r="D35" s="198">
        <f>F16</f>
        <v>9345.7900000000009</v>
      </c>
      <c r="E35" s="199">
        <v>0</v>
      </c>
      <c r="F35" s="200">
        <f>SUM(C35:E35)</f>
        <v>9514.8550158245398</v>
      </c>
    </row>
    <row r="36" spans="2:7" x14ac:dyDescent="0.3">
      <c r="B36" s="201" t="s">
        <v>79</v>
      </c>
      <c r="C36" s="202">
        <f>SUM(C33:C35)</f>
        <v>189751.49287153597</v>
      </c>
      <c r="D36" s="202">
        <f>SUM(D33:D35)</f>
        <v>163707.78</v>
      </c>
      <c r="E36" s="203">
        <f>SUM(E33:E35)</f>
        <v>46000</v>
      </c>
      <c r="F36" s="202">
        <f>SUM(F33:F35)</f>
        <v>399459.27287153597</v>
      </c>
      <c r="G36" s="248">
        <f>C51+C62</f>
        <v>399459.27287153591</v>
      </c>
    </row>
    <row r="37" spans="2:7" x14ac:dyDescent="0.3">
      <c r="B37" s="191" t="s">
        <v>109</v>
      </c>
      <c r="C37" s="221">
        <f>0.07*C36</f>
        <v>13282.60450100752</v>
      </c>
      <c r="D37" s="198">
        <f>0.07*D36</f>
        <v>11459.544600000001</v>
      </c>
      <c r="E37" s="241">
        <f>0.07*E36</f>
        <v>3220.0000000000005</v>
      </c>
      <c r="F37" s="200">
        <f>0.07*F36</f>
        <v>27962.149101007519</v>
      </c>
    </row>
    <row r="38" spans="2:7" x14ac:dyDescent="0.3">
      <c r="B38" s="210" t="s">
        <v>1</v>
      </c>
      <c r="C38" s="235">
        <f>SUM(C36:C37)</f>
        <v>203034.0973725435</v>
      </c>
      <c r="D38" s="242">
        <f>SUM(D36:D37)</f>
        <v>175167.32459999999</v>
      </c>
      <c r="E38" s="243">
        <f>SUM(E36:E37)</f>
        <v>49220</v>
      </c>
      <c r="F38" s="211">
        <f>SUM(F36:F37)</f>
        <v>427421.42197254347</v>
      </c>
    </row>
    <row r="40" spans="2:7" ht="12.5" thickBot="1" x14ac:dyDescent="0.35">
      <c r="B40" s="213" t="s">
        <v>274</v>
      </c>
      <c r="C40" s="252">
        <f>'Comparativo 2019'!F11</f>
        <v>189751</v>
      </c>
      <c r="D40" s="252">
        <f>'Comparativo 2019'!G11</f>
        <v>171260</v>
      </c>
      <c r="E40" s="213">
        <f>'Comparativo 2019'!H11</f>
        <v>46000</v>
      </c>
      <c r="F40" s="252">
        <f>'Comparativo 2019'!I11</f>
        <v>407011</v>
      </c>
    </row>
    <row r="41" spans="2:7" ht="12.5" thickTop="1" x14ac:dyDescent="0.3"/>
    <row r="42" spans="2:7" x14ac:dyDescent="0.3">
      <c r="B42" s="589" t="s">
        <v>255</v>
      </c>
      <c r="C42" s="589"/>
      <c r="D42" s="589"/>
      <c r="E42" s="589"/>
      <c r="F42" s="589"/>
    </row>
    <row r="43" spans="2:7" x14ac:dyDescent="0.3">
      <c r="B43" s="216" t="s">
        <v>110</v>
      </c>
      <c r="C43" s="217" t="s">
        <v>60</v>
      </c>
      <c r="D43" s="218" t="s">
        <v>2</v>
      </c>
      <c r="E43" s="219" t="s">
        <v>65</v>
      </c>
      <c r="F43" s="218" t="s">
        <v>66</v>
      </c>
    </row>
    <row r="44" spans="2:7" x14ac:dyDescent="0.3">
      <c r="B44" s="141" t="s">
        <v>67</v>
      </c>
      <c r="C44" s="220">
        <f>D44+E44+F44</f>
        <v>123052.95305235332</v>
      </c>
      <c r="D44" s="221">
        <f>+F7</f>
        <v>123052.95305235332</v>
      </c>
      <c r="E44" s="222"/>
      <c r="F44" s="223"/>
    </row>
    <row r="45" spans="2:7" x14ac:dyDescent="0.3">
      <c r="B45" s="261" t="s">
        <v>68</v>
      </c>
      <c r="C45" s="220">
        <f t="shared" ref="C45:C50" si="0">D45+E45+F45</f>
        <v>0</v>
      </c>
      <c r="D45" s="221"/>
      <c r="E45" s="222"/>
      <c r="F45" s="223"/>
    </row>
    <row r="46" spans="2:7" x14ac:dyDescent="0.3">
      <c r="B46" s="264" t="s">
        <v>69</v>
      </c>
      <c r="C46" s="220">
        <f t="shared" si="0"/>
        <v>0</v>
      </c>
      <c r="D46" s="221"/>
      <c r="E46" s="222"/>
      <c r="F46" s="223"/>
    </row>
    <row r="47" spans="2:7" x14ac:dyDescent="0.3">
      <c r="B47" s="261" t="s">
        <v>70</v>
      </c>
      <c r="C47" s="220">
        <f t="shared" si="0"/>
        <v>0</v>
      </c>
      <c r="D47" s="221"/>
      <c r="E47" s="222"/>
      <c r="F47" s="223"/>
    </row>
    <row r="48" spans="2:7" x14ac:dyDescent="0.3">
      <c r="B48" s="191" t="s">
        <v>71</v>
      </c>
      <c r="C48" s="220">
        <f t="shared" si="0"/>
        <v>9654.7464466446672</v>
      </c>
      <c r="D48" s="221">
        <f>+F8</f>
        <v>9654.7464466446672</v>
      </c>
      <c r="E48" s="222"/>
      <c r="F48" s="223"/>
    </row>
    <row r="49" spans="2:6" x14ac:dyDescent="0.3">
      <c r="B49" s="264" t="s">
        <v>72</v>
      </c>
      <c r="C49" s="220">
        <f t="shared" si="0"/>
        <v>0</v>
      </c>
      <c r="D49" s="221"/>
      <c r="E49" s="222"/>
      <c r="F49" s="223"/>
    </row>
    <row r="50" spans="2:6" x14ac:dyDescent="0.3">
      <c r="B50" s="192" t="s">
        <v>73</v>
      </c>
      <c r="C50" s="220">
        <f t="shared" si="0"/>
        <v>118.34551107717755</v>
      </c>
      <c r="D50" s="221">
        <f>+F9</f>
        <v>118.34551107717755</v>
      </c>
      <c r="E50" s="222"/>
      <c r="F50" s="223"/>
    </row>
    <row r="51" spans="2:6" x14ac:dyDescent="0.3">
      <c r="B51" s="140" t="s">
        <v>183</v>
      </c>
      <c r="C51" s="224">
        <f>SUM(C44:C50)</f>
        <v>132826.04501007515</v>
      </c>
      <c r="D51" s="224">
        <f>SUM(D44:D50)</f>
        <v>132826.04501007515</v>
      </c>
      <c r="E51" s="225">
        <f>SUM(E44:E50)</f>
        <v>0</v>
      </c>
      <c r="F51" s="224">
        <f>SUM(F44:F50)</f>
        <v>0</v>
      </c>
    </row>
    <row r="53" spans="2:6" ht="27.75" customHeight="1" x14ac:dyDescent="0.3">
      <c r="B53" s="576" t="s">
        <v>143</v>
      </c>
      <c r="C53" s="577"/>
      <c r="D53" s="577"/>
      <c r="E53" s="577"/>
      <c r="F53" s="578"/>
    </row>
    <row r="54" spans="2:6" x14ac:dyDescent="0.3">
      <c r="B54" s="216" t="s">
        <v>110</v>
      </c>
      <c r="C54" s="217" t="s">
        <v>60</v>
      </c>
      <c r="D54" s="218" t="s">
        <v>2</v>
      </c>
      <c r="E54" s="219" t="s">
        <v>65</v>
      </c>
      <c r="F54" s="218" t="s">
        <v>66</v>
      </c>
    </row>
    <row r="55" spans="2:6" x14ac:dyDescent="0.3">
      <c r="B55" s="141" t="s">
        <v>67</v>
      </c>
      <c r="C55" s="220">
        <f>D55+E55+F55</f>
        <v>228098.96987957999</v>
      </c>
      <c r="D55" s="221">
        <f>+F19</f>
        <v>52736.979879579994</v>
      </c>
      <c r="E55" s="222">
        <f>+D33</f>
        <v>134361.99</v>
      </c>
      <c r="F55" s="223">
        <f>+E33</f>
        <v>41000</v>
      </c>
    </row>
    <row r="56" spans="2:6" x14ac:dyDescent="0.3">
      <c r="B56" s="261" t="s">
        <v>68</v>
      </c>
      <c r="C56" s="220">
        <f t="shared" ref="C56:C61" si="1">D56+E56+F56</f>
        <v>0</v>
      </c>
      <c r="D56" s="221"/>
      <c r="E56" s="222"/>
      <c r="F56" s="223"/>
    </row>
    <row r="57" spans="2:6" x14ac:dyDescent="0.3">
      <c r="B57" s="264" t="s">
        <v>69</v>
      </c>
      <c r="C57" s="220">
        <f t="shared" si="1"/>
        <v>0</v>
      </c>
      <c r="D57" s="221"/>
      <c r="E57" s="222"/>
      <c r="F57" s="223"/>
    </row>
    <row r="58" spans="2:6" x14ac:dyDescent="0.3">
      <c r="B58" s="261" t="s">
        <v>70</v>
      </c>
      <c r="C58" s="220">
        <f t="shared" si="1"/>
        <v>0</v>
      </c>
      <c r="D58" s="221"/>
      <c r="E58" s="222"/>
      <c r="F58" s="223"/>
    </row>
    <row r="59" spans="2:6" x14ac:dyDescent="0.3">
      <c r="B59" s="191" t="s">
        <v>71</v>
      </c>
      <c r="C59" s="220">
        <f t="shared" si="1"/>
        <v>29137.748477133428</v>
      </c>
      <c r="D59" s="221">
        <f>+F20</f>
        <v>4137.7484771334284</v>
      </c>
      <c r="E59" s="222">
        <f>+D34</f>
        <v>20000</v>
      </c>
      <c r="F59" s="223">
        <f>+E34</f>
        <v>5000</v>
      </c>
    </row>
    <row r="60" spans="2:6" x14ac:dyDescent="0.3">
      <c r="B60" s="264" t="s">
        <v>72</v>
      </c>
      <c r="C60" s="220">
        <f t="shared" si="1"/>
        <v>0</v>
      </c>
      <c r="D60" s="221"/>
      <c r="E60" s="222"/>
      <c r="F60" s="223"/>
    </row>
    <row r="61" spans="2:6" x14ac:dyDescent="0.3">
      <c r="B61" s="192" t="s">
        <v>73</v>
      </c>
      <c r="C61" s="220">
        <f t="shared" si="1"/>
        <v>9396.5095047473624</v>
      </c>
      <c r="D61" s="221">
        <f>+F21</f>
        <v>50.719504747361803</v>
      </c>
      <c r="E61" s="222">
        <f>+D35</f>
        <v>9345.7900000000009</v>
      </c>
      <c r="F61" s="223">
        <f>+E35</f>
        <v>0</v>
      </c>
    </row>
    <row r="62" spans="2:6" x14ac:dyDescent="0.3">
      <c r="B62" s="140" t="s">
        <v>183</v>
      </c>
      <c r="C62" s="224">
        <f>SUM(C55:C61)</f>
        <v>266633.22786146076</v>
      </c>
      <c r="D62" s="224">
        <f>SUM(D55:D61)</f>
        <v>56925.447861460787</v>
      </c>
      <c r="E62" s="225">
        <f>SUM(E55:E61)</f>
        <v>163707.78</v>
      </c>
      <c r="F62" s="224">
        <f>SUM(F55:F61)</f>
        <v>46000</v>
      </c>
    </row>
  </sheetData>
  <mergeCells count="22">
    <mergeCell ref="B4:F4"/>
    <mergeCell ref="E5:F5"/>
    <mergeCell ref="B11:F11"/>
    <mergeCell ref="B7:B9"/>
    <mergeCell ref="B5:B6"/>
    <mergeCell ref="C5:C6"/>
    <mergeCell ref="D5:D6"/>
    <mergeCell ref="D7:D9"/>
    <mergeCell ref="B14:B17"/>
    <mergeCell ref="D14:D17"/>
    <mergeCell ref="B23:B24"/>
    <mergeCell ref="E12:F12"/>
    <mergeCell ref="B12:B13"/>
    <mergeCell ref="C12:C13"/>
    <mergeCell ref="D12:D13"/>
    <mergeCell ref="C16:C17"/>
    <mergeCell ref="B53:F53"/>
    <mergeCell ref="B42:F42"/>
    <mergeCell ref="D19:D21"/>
    <mergeCell ref="D23:D24"/>
    <mergeCell ref="B19:B21"/>
    <mergeCell ref="C20:C21"/>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77"/>
  <sheetViews>
    <sheetView showGridLines="0" topLeftCell="A43" zoomScaleNormal="100" workbookViewId="0">
      <selection activeCell="B68" sqref="B68:F68"/>
    </sheetView>
  </sheetViews>
  <sheetFormatPr defaultColWidth="9.1796875" defaultRowHeight="12" x14ac:dyDescent="0.3"/>
  <cols>
    <col min="1" max="1" width="1" style="177" customWidth="1"/>
    <col min="2" max="2" width="37" style="206" customWidth="1"/>
    <col min="3" max="3" width="75.81640625" style="206" customWidth="1"/>
    <col min="4" max="4" width="13.1796875" style="206" customWidth="1"/>
    <col min="5" max="5" width="18.81640625" style="206" customWidth="1"/>
    <col min="6" max="6" width="14.1796875" style="206" customWidth="1"/>
    <col min="7" max="7" width="16.453125" style="206" customWidth="1"/>
    <col min="8" max="16384" width="9.1796875" style="177"/>
  </cols>
  <sheetData>
    <row r="3" spans="2:6" x14ac:dyDescent="0.3">
      <c r="B3" s="137" t="s">
        <v>176</v>
      </c>
      <c r="C3" s="137"/>
      <c r="D3" s="137"/>
      <c r="E3" s="137"/>
      <c r="F3" s="138"/>
    </row>
    <row r="4" spans="2:6" ht="42" customHeight="1" x14ac:dyDescent="0.3">
      <c r="B4" s="576" t="s">
        <v>143</v>
      </c>
      <c r="C4" s="577"/>
      <c r="D4" s="577"/>
      <c r="E4" s="577"/>
      <c r="F4" s="578"/>
    </row>
    <row r="5" spans="2:6" ht="15.75" customHeight="1" x14ac:dyDescent="0.3">
      <c r="B5" s="579" t="s">
        <v>102</v>
      </c>
      <c r="C5" s="581" t="s">
        <v>103</v>
      </c>
      <c r="D5" s="583" t="s">
        <v>104</v>
      </c>
      <c r="E5" s="662" t="s">
        <v>105</v>
      </c>
      <c r="F5" s="663"/>
    </row>
    <row r="6" spans="2:6" ht="24" x14ac:dyDescent="0.3">
      <c r="B6" s="580"/>
      <c r="C6" s="582"/>
      <c r="D6" s="583"/>
      <c r="E6" s="165" t="s">
        <v>110</v>
      </c>
      <c r="F6" s="165" t="s">
        <v>107</v>
      </c>
    </row>
    <row r="7" spans="2:6" ht="20.149999999999999" customHeight="1" x14ac:dyDescent="0.3">
      <c r="B7" s="562" t="s">
        <v>288</v>
      </c>
      <c r="C7" s="133" t="s">
        <v>181</v>
      </c>
      <c r="D7" s="607" t="s">
        <v>65</v>
      </c>
      <c r="E7" s="562" t="s">
        <v>67</v>
      </c>
      <c r="F7" s="668">
        <v>408398</v>
      </c>
    </row>
    <row r="8" spans="2:6" ht="38.5" customHeight="1" x14ac:dyDescent="0.3">
      <c r="B8" s="563"/>
      <c r="C8" s="133" t="s">
        <v>289</v>
      </c>
      <c r="D8" s="557"/>
      <c r="E8" s="563"/>
      <c r="F8" s="669"/>
    </row>
    <row r="9" spans="2:6" ht="26.5" customHeight="1" x14ac:dyDescent="0.3">
      <c r="B9" s="563"/>
      <c r="C9" s="131" t="s">
        <v>182</v>
      </c>
      <c r="D9" s="557"/>
      <c r="E9" s="563"/>
      <c r="F9" s="669"/>
    </row>
    <row r="10" spans="2:6" ht="27.65" customHeight="1" x14ac:dyDescent="0.3">
      <c r="B10" s="563"/>
      <c r="C10" s="132" t="s">
        <v>290</v>
      </c>
      <c r="D10" s="557"/>
      <c r="E10" s="563"/>
      <c r="F10" s="669"/>
    </row>
    <row r="11" spans="2:6" ht="26.5" customHeight="1" x14ac:dyDescent="0.3">
      <c r="B11" s="563"/>
      <c r="C11" s="254" t="s">
        <v>291</v>
      </c>
      <c r="D11" s="557"/>
      <c r="E11" s="563"/>
      <c r="F11" s="669"/>
    </row>
    <row r="12" spans="2:6" ht="29.5" customHeight="1" x14ac:dyDescent="0.3">
      <c r="B12" s="563"/>
      <c r="C12" s="132" t="s">
        <v>191</v>
      </c>
      <c r="D12" s="557"/>
      <c r="E12" s="563"/>
      <c r="F12" s="669"/>
    </row>
    <row r="13" spans="2:6" ht="24" x14ac:dyDescent="0.3">
      <c r="B13" s="563"/>
      <c r="C13" s="132" t="s">
        <v>292</v>
      </c>
      <c r="D13" s="557"/>
      <c r="E13" s="647" t="s">
        <v>71</v>
      </c>
      <c r="F13" s="666">
        <v>38000</v>
      </c>
    </row>
    <row r="14" spans="2:6" ht="24" x14ac:dyDescent="0.3">
      <c r="B14" s="563"/>
      <c r="C14" s="132" t="s">
        <v>192</v>
      </c>
      <c r="D14" s="557"/>
      <c r="E14" s="649"/>
      <c r="F14" s="667"/>
    </row>
    <row r="15" spans="2:6" ht="42.75" customHeight="1" x14ac:dyDescent="0.3">
      <c r="B15" s="563"/>
      <c r="C15" s="476" t="s">
        <v>193</v>
      </c>
      <c r="D15" s="558"/>
      <c r="E15" s="131" t="s">
        <v>73</v>
      </c>
      <c r="F15" s="256">
        <v>18692</v>
      </c>
    </row>
    <row r="16" spans="2:6" ht="14.5" customHeight="1" x14ac:dyDescent="0.3">
      <c r="B16" s="563"/>
      <c r="C16" s="621"/>
      <c r="D16" s="622"/>
      <c r="E16" s="271" t="s">
        <v>183</v>
      </c>
      <c r="F16" s="247">
        <f>SUM(F7:F15)</f>
        <v>465090</v>
      </c>
    </row>
    <row r="17" spans="2:7" ht="24" customHeight="1" x14ac:dyDescent="0.3">
      <c r="B17" s="563"/>
      <c r="C17" s="568" t="s">
        <v>293</v>
      </c>
      <c r="D17" s="565" t="s">
        <v>2</v>
      </c>
      <c r="E17" s="474" t="s">
        <v>67</v>
      </c>
      <c r="F17" s="178">
        <v>33865</v>
      </c>
    </row>
    <row r="18" spans="2:7" ht="19.5" customHeight="1" x14ac:dyDescent="0.3">
      <c r="B18" s="563"/>
      <c r="C18" s="640"/>
      <c r="D18" s="566"/>
      <c r="E18" s="474" t="s">
        <v>71</v>
      </c>
      <c r="F18" s="178">
        <v>5948</v>
      </c>
    </row>
    <row r="19" spans="2:7" ht="27" customHeight="1" x14ac:dyDescent="0.3">
      <c r="B19" s="563"/>
      <c r="C19" s="569"/>
      <c r="D19" s="567"/>
      <c r="E19" s="474" t="s">
        <v>73</v>
      </c>
      <c r="F19" s="178">
        <v>36</v>
      </c>
    </row>
    <row r="20" spans="2:7" ht="16" customHeight="1" x14ac:dyDescent="0.3">
      <c r="B20" s="564"/>
      <c r="C20" s="621"/>
      <c r="D20" s="622"/>
      <c r="E20" s="271" t="s">
        <v>183</v>
      </c>
      <c r="F20" s="247">
        <f>SUM(F17:F19)</f>
        <v>39849</v>
      </c>
    </row>
    <row r="21" spans="2:7" ht="15" customHeight="1" x14ac:dyDescent="0.3">
      <c r="B21" s="245" t="s">
        <v>183</v>
      </c>
      <c r="C21" s="135"/>
      <c r="D21" s="50"/>
      <c r="E21" s="135"/>
      <c r="F21" s="246">
        <f>SUM(F16+F20)</f>
        <v>504939</v>
      </c>
    </row>
    <row r="22" spans="2:7" ht="24" x14ac:dyDescent="0.3">
      <c r="B22" s="670" t="s">
        <v>294</v>
      </c>
      <c r="C22" s="175" t="s">
        <v>177</v>
      </c>
      <c r="D22" s="565" t="s">
        <v>2</v>
      </c>
      <c r="E22" s="568" t="s">
        <v>67</v>
      </c>
      <c r="F22" s="664">
        <v>62891</v>
      </c>
      <c r="G22" s="258"/>
    </row>
    <row r="23" spans="2:7" x14ac:dyDescent="0.3">
      <c r="B23" s="671"/>
      <c r="C23" s="175" t="s">
        <v>178</v>
      </c>
      <c r="D23" s="566"/>
      <c r="E23" s="569"/>
      <c r="F23" s="665"/>
      <c r="G23" s="258"/>
    </row>
    <row r="24" spans="2:7" ht="24" x14ac:dyDescent="0.3">
      <c r="B24" s="671"/>
      <c r="C24" s="175" t="s">
        <v>295</v>
      </c>
      <c r="D24" s="566"/>
      <c r="E24" s="573" t="s">
        <v>71</v>
      </c>
      <c r="F24" s="673">
        <v>11046</v>
      </c>
      <c r="G24" s="258"/>
    </row>
    <row r="25" spans="2:7" ht="24" x14ac:dyDescent="0.3">
      <c r="B25" s="671"/>
      <c r="C25" s="474" t="s">
        <v>179</v>
      </c>
      <c r="D25" s="566"/>
      <c r="E25" s="575"/>
      <c r="F25" s="674"/>
      <c r="G25" s="258"/>
    </row>
    <row r="26" spans="2:7" ht="36" x14ac:dyDescent="0.3">
      <c r="B26" s="672"/>
      <c r="C26" s="175" t="s">
        <v>180</v>
      </c>
      <c r="D26" s="567"/>
      <c r="E26" s="175" t="s">
        <v>73</v>
      </c>
      <c r="F26" s="178">
        <v>66</v>
      </c>
    </row>
    <row r="27" spans="2:7" ht="13.15" customHeight="1" x14ac:dyDescent="0.2">
      <c r="B27" s="245" t="s">
        <v>183</v>
      </c>
      <c r="C27" s="135"/>
      <c r="D27" s="50"/>
      <c r="E27" s="135"/>
      <c r="F27" s="246">
        <f>SUM(F22:F26)</f>
        <v>74003</v>
      </c>
    </row>
    <row r="28" spans="2:7" ht="27.65" customHeight="1" x14ac:dyDescent="0.3">
      <c r="B28" s="615" t="s">
        <v>194</v>
      </c>
      <c r="C28" s="514" t="s">
        <v>195</v>
      </c>
      <c r="D28" s="609" t="s">
        <v>66</v>
      </c>
      <c r="E28" s="116" t="s">
        <v>67</v>
      </c>
      <c r="F28" s="150">
        <v>16847.16</v>
      </c>
    </row>
    <row r="29" spans="2:7" ht="16" customHeight="1" x14ac:dyDescent="0.3">
      <c r="B29" s="616"/>
      <c r="C29" s="615" t="s">
        <v>196</v>
      </c>
      <c r="D29" s="610"/>
      <c r="E29" s="115" t="s">
        <v>71</v>
      </c>
      <c r="F29" s="183">
        <v>1871.9066666666668</v>
      </c>
    </row>
    <row r="30" spans="2:7" ht="36" x14ac:dyDescent="0.3">
      <c r="B30" s="617"/>
      <c r="C30" s="617"/>
      <c r="D30" s="611"/>
      <c r="E30" s="116" t="s">
        <v>73</v>
      </c>
      <c r="F30" s="183">
        <v>0</v>
      </c>
    </row>
    <row r="31" spans="2:7" x14ac:dyDescent="0.2">
      <c r="B31" s="245" t="s">
        <v>183</v>
      </c>
      <c r="C31" s="135"/>
      <c r="D31" s="50"/>
      <c r="E31" s="135"/>
      <c r="F31" s="246">
        <f>SUM(F28:F30)</f>
        <v>18719.066666666666</v>
      </c>
    </row>
    <row r="32" spans="2:7" ht="24" x14ac:dyDescent="0.3">
      <c r="B32" s="612" t="s">
        <v>296</v>
      </c>
      <c r="C32" s="116" t="s">
        <v>199</v>
      </c>
      <c r="D32" s="610" t="s">
        <v>66</v>
      </c>
      <c r="E32" s="116" t="s">
        <v>67</v>
      </c>
      <c r="F32" s="150">
        <v>25270.74</v>
      </c>
      <c r="G32" s="260">
        <f>C66+C77</f>
        <v>672537.33333333337</v>
      </c>
    </row>
    <row r="33" spans="2:6" ht="20.149999999999999" customHeight="1" x14ac:dyDescent="0.3">
      <c r="B33" s="613"/>
      <c r="C33" s="615" t="s">
        <v>297</v>
      </c>
      <c r="D33" s="610"/>
      <c r="E33" s="115" t="s">
        <v>71</v>
      </c>
      <c r="F33" s="150">
        <v>2807.8599999999997</v>
      </c>
    </row>
    <row r="34" spans="2:6" ht="27" customHeight="1" x14ac:dyDescent="0.3">
      <c r="B34" s="614"/>
      <c r="C34" s="617"/>
      <c r="D34" s="611"/>
      <c r="E34" s="116" t="s">
        <v>73</v>
      </c>
      <c r="F34" s="183">
        <v>0</v>
      </c>
    </row>
    <row r="35" spans="2:6" x14ac:dyDescent="0.2">
      <c r="B35" s="245" t="s">
        <v>183</v>
      </c>
      <c r="C35" s="135"/>
      <c r="D35" s="50"/>
      <c r="E35" s="135"/>
      <c r="F35" s="246">
        <f>SUM(F32:F34)</f>
        <v>28078.600000000002</v>
      </c>
    </row>
    <row r="36" spans="2:6" ht="33" customHeight="1" x14ac:dyDescent="0.3">
      <c r="B36" s="598" t="s">
        <v>197</v>
      </c>
      <c r="C36" s="155" t="s">
        <v>298</v>
      </c>
      <c r="D36" s="590" t="s">
        <v>66</v>
      </c>
      <c r="E36" s="116" t="s">
        <v>67</v>
      </c>
      <c r="F36" s="153">
        <v>42117.899999999994</v>
      </c>
    </row>
    <row r="37" spans="2:6" ht="33.65" customHeight="1" x14ac:dyDescent="0.3">
      <c r="B37" s="603"/>
      <c r="C37" s="122" t="s">
        <v>198</v>
      </c>
      <c r="D37" s="591"/>
      <c r="E37" s="115" t="s">
        <v>71</v>
      </c>
      <c r="F37" s="153">
        <v>4679.7666666666664</v>
      </c>
    </row>
    <row r="38" spans="2:6" ht="38.15" customHeight="1" x14ac:dyDescent="0.3">
      <c r="B38" s="599"/>
      <c r="C38" s="122" t="s">
        <v>200</v>
      </c>
      <c r="D38" s="592"/>
      <c r="E38" s="116" t="s">
        <v>73</v>
      </c>
      <c r="F38" s="153">
        <v>0</v>
      </c>
    </row>
    <row r="39" spans="2:6" x14ac:dyDescent="0.2">
      <c r="B39" s="245" t="s">
        <v>183</v>
      </c>
      <c r="C39" s="135"/>
      <c r="D39" s="50"/>
      <c r="E39" s="135"/>
      <c r="F39" s="246">
        <f>SUM(F36:F38)</f>
        <v>46797.666666666657</v>
      </c>
    </row>
    <row r="40" spans="2:6" x14ac:dyDescent="0.2">
      <c r="B40" s="194" t="s">
        <v>79</v>
      </c>
      <c r="C40" s="187"/>
      <c r="D40" s="187"/>
      <c r="E40" s="187"/>
      <c r="F40" s="257">
        <f>F39+F35+F31+F27+F21</f>
        <v>672537.33333333326</v>
      </c>
    </row>
    <row r="41" spans="2:6" x14ac:dyDescent="0.2">
      <c r="B41" s="191" t="s">
        <v>264</v>
      </c>
      <c r="C41" s="191"/>
      <c r="D41" s="191"/>
      <c r="E41" s="191"/>
      <c r="F41" s="259">
        <f>0.07*F40</f>
        <v>47077.613333333335</v>
      </c>
    </row>
    <row r="42" spans="2:6" x14ac:dyDescent="0.2">
      <c r="B42" s="194" t="s">
        <v>77</v>
      </c>
      <c r="C42" s="187"/>
      <c r="D42" s="187"/>
      <c r="E42" s="187"/>
      <c r="F42" s="257">
        <f>SUM(F40:F41)</f>
        <v>719614.94666666654</v>
      </c>
    </row>
    <row r="45" spans="2:6" x14ac:dyDescent="0.2">
      <c r="B45" s="195" t="s">
        <v>108</v>
      </c>
      <c r="C45" s="195" t="s">
        <v>2</v>
      </c>
      <c r="D45" s="195" t="s">
        <v>65</v>
      </c>
      <c r="E45" s="195" t="s">
        <v>66</v>
      </c>
      <c r="F45" s="195" t="s">
        <v>1</v>
      </c>
    </row>
    <row r="46" spans="2:6" x14ac:dyDescent="0.2">
      <c r="B46" s="141" t="s">
        <v>67</v>
      </c>
      <c r="C46" s="197">
        <f>F22+F17</f>
        <v>96756</v>
      </c>
      <c r="D46" s="198">
        <f>F7</f>
        <v>408398</v>
      </c>
      <c r="E46" s="232">
        <f>F28+F32+F36</f>
        <v>84235.799999999988</v>
      </c>
      <c r="F46" s="200">
        <f>SUM(C46:E46)</f>
        <v>589389.80000000005</v>
      </c>
    </row>
    <row r="47" spans="2:6" x14ac:dyDescent="0.2">
      <c r="B47" s="141" t="s">
        <v>71</v>
      </c>
      <c r="C47" s="197">
        <f>F24+F18</f>
        <v>16994</v>
      </c>
      <c r="D47" s="198">
        <f>F13</f>
        <v>38000</v>
      </c>
      <c r="E47" s="232">
        <f>F37+F33+F29</f>
        <v>9359.5333333333328</v>
      </c>
      <c r="F47" s="200">
        <f>SUM(C47:E47)</f>
        <v>64353.533333333333</v>
      </c>
    </row>
    <row r="48" spans="2:6" ht="24" x14ac:dyDescent="0.2">
      <c r="B48" s="142" t="s">
        <v>73</v>
      </c>
      <c r="C48" s="197">
        <f>F26+F19</f>
        <v>102</v>
      </c>
      <c r="D48" s="198">
        <f>F15</f>
        <v>18692</v>
      </c>
      <c r="E48" s="232">
        <f>F38+F34+F30</f>
        <v>0</v>
      </c>
      <c r="F48" s="200">
        <f>SUM(C48:E48)</f>
        <v>18794</v>
      </c>
    </row>
    <row r="49" spans="2:6" x14ac:dyDescent="0.2">
      <c r="B49" s="201" t="s">
        <v>79</v>
      </c>
      <c r="C49" s="202">
        <f>SUM(C46:C48)</f>
        <v>113852</v>
      </c>
      <c r="D49" s="202">
        <f>SUM(D46:D48)</f>
        <v>465090</v>
      </c>
      <c r="E49" s="202">
        <f>SUM(E46:E48)</f>
        <v>93595.333333333314</v>
      </c>
      <c r="F49" s="202">
        <f>SUM(F46:F48)</f>
        <v>672537.33333333337</v>
      </c>
    </row>
    <row r="50" spans="2:6" x14ac:dyDescent="0.2">
      <c r="B50" s="191" t="s">
        <v>109</v>
      </c>
      <c r="C50" s="221">
        <f>0.07*C49</f>
        <v>7969.64</v>
      </c>
      <c r="D50" s="198">
        <f>0.07*D49</f>
        <v>32556.300000000003</v>
      </c>
      <c r="E50" s="223">
        <f>0.07*E49</f>
        <v>6551.6733333333323</v>
      </c>
      <c r="F50" s="200">
        <f>0.07*F49</f>
        <v>47077.613333333342</v>
      </c>
    </row>
    <row r="51" spans="2:6" x14ac:dyDescent="0.2">
      <c r="B51" s="210" t="s">
        <v>1</v>
      </c>
      <c r="C51" s="235">
        <f>SUM(C49:C50)</f>
        <v>121821.64</v>
      </c>
      <c r="D51" s="242">
        <f>SUM(D49:D50)</f>
        <v>497646.3</v>
      </c>
      <c r="E51" s="249">
        <f>SUM(E49:E50)</f>
        <v>100147.00666666665</v>
      </c>
      <c r="F51" s="211">
        <f>SUM(F49:F50)</f>
        <v>719614.94666666677</v>
      </c>
    </row>
    <row r="54" spans="2:6" ht="24.5" thickBot="1" x14ac:dyDescent="0.35">
      <c r="B54" s="213" t="s">
        <v>274</v>
      </c>
      <c r="C54" s="252">
        <f>'Comparativo 2019'!F16</f>
        <v>113851</v>
      </c>
      <c r="D54" s="252">
        <f>'Comparativo 2019'!G16</f>
        <v>428240</v>
      </c>
      <c r="E54" s="252">
        <f>'Comparativo 2019'!H16</f>
        <v>93595</v>
      </c>
      <c r="F54" s="252">
        <f>'Comparativo 2019'!I16</f>
        <v>635686</v>
      </c>
    </row>
    <row r="55" spans="2:6" ht="12.75" thickTop="1" x14ac:dyDescent="0.2"/>
    <row r="57" spans="2:6" ht="32.25" customHeight="1" x14ac:dyDescent="0.3">
      <c r="B57" s="589" t="s">
        <v>255</v>
      </c>
      <c r="C57" s="589"/>
      <c r="D57" s="589"/>
      <c r="E57" s="589"/>
      <c r="F57" s="589"/>
    </row>
    <row r="58" spans="2:6" x14ac:dyDescent="0.3">
      <c r="B58" s="216" t="s">
        <v>110</v>
      </c>
      <c r="C58" s="217" t="s">
        <v>60</v>
      </c>
      <c r="D58" s="218" t="s">
        <v>2</v>
      </c>
      <c r="E58" s="237" t="s">
        <v>65</v>
      </c>
      <c r="F58" s="218" t="s">
        <v>66</v>
      </c>
    </row>
    <row r="59" spans="2:6" x14ac:dyDescent="0.2">
      <c r="B59" s="141" t="s">
        <v>67</v>
      </c>
      <c r="C59" s="220">
        <f>D59+E59+F59</f>
        <v>0</v>
      </c>
      <c r="D59" s="221"/>
      <c r="E59" s="198"/>
      <c r="F59" s="223"/>
    </row>
    <row r="60" spans="2:6" x14ac:dyDescent="0.2">
      <c r="B60" s="261" t="s">
        <v>68</v>
      </c>
      <c r="C60" s="220">
        <f t="shared" ref="C60:C65" si="0">D60+E60+F60</f>
        <v>0</v>
      </c>
      <c r="D60" s="221"/>
      <c r="E60" s="198"/>
      <c r="F60" s="223"/>
    </row>
    <row r="61" spans="2:6" ht="24" x14ac:dyDescent="0.3">
      <c r="B61" s="264" t="s">
        <v>69</v>
      </c>
      <c r="C61" s="220">
        <f t="shared" si="0"/>
        <v>0</v>
      </c>
      <c r="D61" s="221"/>
      <c r="E61" s="198"/>
      <c r="F61" s="223"/>
    </row>
    <row r="62" spans="2:6" x14ac:dyDescent="0.2">
      <c r="B62" s="261" t="s">
        <v>70</v>
      </c>
      <c r="C62" s="220">
        <f t="shared" si="0"/>
        <v>0</v>
      </c>
      <c r="D62" s="221"/>
      <c r="E62" s="198"/>
      <c r="F62" s="223"/>
    </row>
    <row r="63" spans="2:6" x14ac:dyDescent="0.2">
      <c r="B63" s="191" t="s">
        <v>71</v>
      </c>
      <c r="C63" s="220">
        <f t="shared" si="0"/>
        <v>0</v>
      </c>
      <c r="D63" s="221"/>
      <c r="E63" s="198"/>
      <c r="F63" s="223"/>
    </row>
    <row r="64" spans="2:6" ht="24" x14ac:dyDescent="0.2">
      <c r="B64" s="264" t="s">
        <v>72</v>
      </c>
      <c r="C64" s="220">
        <f t="shared" si="0"/>
        <v>0</v>
      </c>
      <c r="D64" s="221"/>
      <c r="E64" s="198"/>
      <c r="F64" s="223"/>
    </row>
    <row r="65" spans="2:6" ht="24" x14ac:dyDescent="0.2">
      <c r="B65" s="192" t="s">
        <v>73</v>
      </c>
      <c r="C65" s="220">
        <f t="shared" si="0"/>
        <v>0</v>
      </c>
      <c r="D65" s="221"/>
      <c r="E65" s="198"/>
      <c r="F65" s="223"/>
    </row>
    <row r="66" spans="2:6" x14ac:dyDescent="0.3">
      <c r="B66" s="140" t="s">
        <v>183</v>
      </c>
      <c r="C66" s="224">
        <f>SUM(C59:C65)</f>
        <v>0</v>
      </c>
      <c r="D66" s="224">
        <f>SUM(D59:D65)</f>
        <v>0</v>
      </c>
      <c r="E66" s="224">
        <f>SUM(E59:E65)</f>
        <v>0</v>
      </c>
      <c r="F66" s="224">
        <f>SUM(F59:F65)</f>
        <v>0</v>
      </c>
    </row>
    <row r="68" spans="2:6" ht="28.5" customHeight="1" x14ac:dyDescent="0.3">
      <c r="B68" s="576" t="s">
        <v>143</v>
      </c>
      <c r="C68" s="577"/>
      <c r="D68" s="577"/>
      <c r="E68" s="577"/>
      <c r="F68" s="578"/>
    </row>
    <row r="69" spans="2:6" x14ac:dyDescent="0.3">
      <c r="B69" s="216" t="s">
        <v>110</v>
      </c>
      <c r="C69" s="217" t="s">
        <v>60</v>
      </c>
      <c r="D69" s="218" t="s">
        <v>2</v>
      </c>
      <c r="E69" s="237" t="s">
        <v>65</v>
      </c>
      <c r="F69" s="218" t="s">
        <v>66</v>
      </c>
    </row>
    <row r="70" spans="2:6" x14ac:dyDescent="0.3">
      <c r="B70" s="141" t="s">
        <v>67</v>
      </c>
      <c r="C70" s="220">
        <f>D70+E70+F70</f>
        <v>589389.80000000005</v>
      </c>
      <c r="D70" s="221">
        <f>+C46</f>
        <v>96756</v>
      </c>
      <c r="E70" s="198">
        <f>+D46</f>
        <v>408398</v>
      </c>
      <c r="F70" s="223">
        <f>+E46</f>
        <v>84235.799999999988</v>
      </c>
    </row>
    <row r="71" spans="2:6" x14ac:dyDescent="0.3">
      <c r="B71" s="261" t="s">
        <v>68</v>
      </c>
      <c r="C71" s="220">
        <f t="shared" ref="C71:C76" si="1">D71+E71+F71</f>
        <v>0</v>
      </c>
      <c r="D71" s="221"/>
      <c r="E71" s="198"/>
      <c r="F71" s="223"/>
    </row>
    <row r="72" spans="2:6" ht="24" x14ac:dyDescent="0.3">
      <c r="B72" s="264" t="s">
        <v>69</v>
      </c>
      <c r="C72" s="220">
        <f t="shared" si="1"/>
        <v>0</v>
      </c>
      <c r="D72" s="221"/>
      <c r="E72" s="198"/>
      <c r="F72" s="223"/>
    </row>
    <row r="73" spans="2:6" x14ac:dyDescent="0.3">
      <c r="B73" s="261" t="s">
        <v>70</v>
      </c>
      <c r="C73" s="220">
        <f t="shared" si="1"/>
        <v>0</v>
      </c>
      <c r="D73" s="221"/>
      <c r="E73" s="198"/>
      <c r="F73" s="223"/>
    </row>
    <row r="74" spans="2:6" x14ac:dyDescent="0.3">
      <c r="B74" s="191" t="s">
        <v>71</v>
      </c>
      <c r="C74" s="220">
        <f t="shared" si="1"/>
        <v>64353.533333333333</v>
      </c>
      <c r="D74" s="221">
        <f>+C47</f>
        <v>16994</v>
      </c>
      <c r="E74" s="198">
        <f>+D47</f>
        <v>38000</v>
      </c>
      <c r="F74" s="223">
        <f>+E47</f>
        <v>9359.5333333333328</v>
      </c>
    </row>
    <row r="75" spans="2:6" x14ac:dyDescent="0.3">
      <c r="B75" s="264" t="s">
        <v>72</v>
      </c>
      <c r="C75" s="220">
        <f t="shared" si="1"/>
        <v>0</v>
      </c>
      <c r="D75" s="221"/>
      <c r="E75" s="198"/>
      <c r="F75" s="223"/>
    </row>
    <row r="76" spans="2:6" ht="24" x14ac:dyDescent="0.3">
      <c r="B76" s="192" t="s">
        <v>73</v>
      </c>
      <c r="C76" s="220">
        <f t="shared" si="1"/>
        <v>18794</v>
      </c>
      <c r="D76" s="221">
        <f>+C48</f>
        <v>102</v>
      </c>
      <c r="E76" s="198">
        <f>+D48</f>
        <v>18692</v>
      </c>
      <c r="F76" s="223">
        <f>+E48</f>
        <v>0</v>
      </c>
    </row>
    <row r="77" spans="2:6" x14ac:dyDescent="0.3">
      <c r="B77" s="140" t="s">
        <v>183</v>
      </c>
      <c r="C77" s="224">
        <f>SUM(C70:C76)</f>
        <v>672537.33333333337</v>
      </c>
      <c r="D77" s="224">
        <f>SUM(D70:D76)</f>
        <v>113852</v>
      </c>
      <c r="E77" s="224">
        <f>SUM(E70:E76)</f>
        <v>465090</v>
      </c>
      <c r="F77" s="224">
        <f>SUM(F70:F76)</f>
        <v>93595.333333333314</v>
      </c>
    </row>
  </sheetData>
  <mergeCells count="31">
    <mergeCell ref="B32:B34"/>
    <mergeCell ref="B68:F68"/>
    <mergeCell ref="B57:F57"/>
    <mergeCell ref="B36:B38"/>
    <mergeCell ref="D36:D38"/>
    <mergeCell ref="D32:D34"/>
    <mergeCell ref="C33:C34"/>
    <mergeCell ref="C20:D20"/>
    <mergeCell ref="B7:B20"/>
    <mergeCell ref="E24:E25"/>
    <mergeCell ref="F24:F25"/>
    <mergeCell ref="B28:B30"/>
    <mergeCell ref="D28:D30"/>
    <mergeCell ref="C29:C30"/>
    <mergeCell ref="D22:D26"/>
    <mergeCell ref="B4:F4"/>
    <mergeCell ref="E5:F5"/>
    <mergeCell ref="D7:D15"/>
    <mergeCell ref="B5:B6"/>
    <mergeCell ref="E22:E23"/>
    <mergeCell ref="F22:F23"/>
    <mergeCell ref="E7:E12"/>
    <mergeCell ref="E13:E14"/>
    <mergeCell ref="F13:F14"/>
    <mergeCell ref="F7:F12"/>
    <mergeCell ref="C5:C6"/>
    <mergeCell ref="D5:D6"/>
    <mergeCell ref="B22:B26"/>
    <mergeCell ref="C16:D16"/>
    <mergeCell ref="D17:D19"/>
    <mergeCell ref="C17:C19"/>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56"/>
  <sheetViews>
    <sheetView showGridLines="0" zoomScale="90" zoomScaleNormal="90" workbookViewId="0">
      <selection activeCell="C18" sqref="C18"/>
    </sheetView>
  </sheetViews>
  <sheetFormatPr defaultColWidth="9.1796875" defaultRowHeight="12" x14ac:dyDescent="0.35"/>
  <cols>
    <col min="1" max="1" width="2" style="206" customWidth="1"/>
    <col min="2" max="2" width="48.26953125" style="206" customWidth="1"/>
    <col min="3" max="3" width="62.1796875" style="206" bestFit="1" customWidth="1"/>
    <col min="4" max="4" width="11.1796875" style="206" customWidth="1"/>
    <col min="5" max="5" width="18.7265625" style="207" customWidth="1"/>
    <col min="6" max="6" width="14.54296875" style="206" customWidth="1"/>
    <col min="7" max="7" width="16.26953125" style="206" customWidth="1"/>
    <col min="8" max="16384" width="9.1796875" style="206"/>
  </cols>
  <sheetData>
    <row r="3" spans="2:6" x14ac:dyDescent="0.35">
      <c r="B3" s="137" t="s">
        <v>210</v>
      </c>
      <c r="C3" s="137"/>
      <c r="D3" s="137"/>
      <c r="E3" s="159"/>
      <c r="F3" s="138"/>
    </row>
    <row r="4" spans="2:6" ht="21" customHeight="1" x14ac:dyDescent="0.35">
      <c r="B4" s="589" t="s">
        <v>255</v>
      </c>
      <c r="C4" s="589"/>
      <c r="D4" s="589"/>
      <c r="E4" s="589"/>
      <c r="F4" s="589"/>
    </row>
    <row r="5" spans="2:6" ht="21" customHeight="1" x14ac:dyDescent="0.35">
      <c r="B5" s="581" t="s">
        <v>102</v>
      </c>
      <c r="C5" s="581" t="s">
        <v>103</v>
      </c>
      <c r="D5" s="581" t="s">
        <v>104</v>
      </c>
      <c r="E5" s="583" t="s">
        <v>105</v>
      </c>
      <c r="F5" s="583"/>
    </row>
    <row r="6" spans="2:6" ht="27.75" customHeight="1" x14ac:dyDescent="0.35">
      <c r="B6" s="582"/>
      <c r="C6" s="582"/>
      <c r="D6" s="582"/>
      <c r="E6" s="165" t="s">
        <v>110</v>
      </c>
      <c r="F6" s="165" t="s">
        <v>107</v>
      </c>
    </row>
    <row r="7" spans="2:6" ht="24.75" customHeight="1" x14ac:dyDescent="0.35">
      <c r="B7" s="568" t="s">
        <v>201</v>
      </c>
      <c r="C7" s="129" t="s">
        <v>203</v>
      </c>
      <c r="D7" s="565" t="s">
        <v>2</v>
      </c>
      <c r="E7" s="608" t="s">
        <v>67</v>
      </c>
      <c r="F7" s="675">
        <v>99110.801487692996</v>
      </c>
    </row>
    <row r="8" spans="2:6" x14ac:dyDescent="0.35">
      <c r="B8" s="640"/>
      <c r="C8" s="129" t="s">
        <v>204</v>
      </c>
      <c r="D8" s="566"/>
      <c r="E8" s="608"/>
      <c r="F8" s="676"/>
    </row>
    <row r="9" spans="2:6" ht="24" x14ac:dyDescent="0.35">
      <c r="B9" s="640"/>
      <c r="C9" s="119" t="s">
        <v>205</v>
      </c>
      <c r="D9" s="566"/>
      <c r="E9" s="175" t="s">
        <v>71</v>
      </c>
      <c r="F9" s="178">
        <v>16500</v>
      </c>
    </row>
    <row r="10" spans="2:6" ht="36" x14ac:dyDescent="0.35">
      <c r="B10" s="569"/>
      <c r="C10" s="119" t="s">
        <v>206</v>
      </c>
      <c r="D10" s="567"/>
      <c r="E10" s="175" t="s">
        <v>73</v>
      </c>
      <c r="F10" s="178">
        <v>7715.31</v>
      </c>
    </row>
    <row r="11" spans="2:6" x14ac:dyDescent="0.25">
      <c r="B11" s="245" t="s">
        <v>256</v>
      </c>
      <c r="C11" s="135"/>
      <c r="D11" s="50"/>
      <c r="E11" s="135"/>
      <c r="F11" s="246">
        <f>SUM(F7:F10)</f>
        <v>123326.11148769299</v>
      </c>
    </row>
    <row r="12" spans="2:6" ht="30.75" customHeight="1" x14ac:dyDescent="0.35">
      <c r="B12" s="576" t="s">
        <v>143</v>
      </c>
      <c r="C12" s="577"/>
      <c r="D12" s="577"/>
      <c r="E12" s="577"/>
      <c r="F12" s="578"/>
    </row>
    <row r="13" spans="2:6" x14ac:dyDescent="0.35">
      <c r="B13" s="581" t="s">
        <v>102</v>
      </c>
      <c r="C13" s="581" t="s">
        <v>103</v>
      </c>
      <c r="D13" s="583" t="s">
        <v>104</v>
      </c>
      <c r="E13" s="583" t="s">
        <v>105</v>
      </c>
      <c r="F13" s="583"/>
    </row>
    <row r="14" spans="2:6" ht="24" x14ac:dyDescent="0.35">
      <c r="B14" s="582"/>
      <c r="C14" s="582"/>
      <c r="D14" s="583"/>
      <c r="E14" s="165" t="s">
        <v>110</v>
      </c>
      <c r="F14" s="165" t="s">
        <v>107</v>
      </c>
    </row>
    <row r="15" spans="2:6" ht="25.5" customHeight="1" x14ac:dyDescent="0.35">
      <c r="B15" s="568" t="s">
        <v>202</v>
      </c>
      <c r="C15" s="515" t="s">
        <v>299</v>
      </c>
      <c r="D15" s="565" t="s">
        <v>2</v>
      </c>
      <c r="E15" s="170" t="s">
        <v>67</v>
      </c>
      <c r="F15" s="178">
        <f>102131.301487693-3020.5</f>
        <v>99110.801487692996</v>
      </c>
    </row>
    <row r="16" spans="2:6" ht="24" x14ac:dyDescent="0.35">
      <c r="B16" s="640"/>
      <c r="C16" s="119" t="s">
        <v>207</v>
      </c>
      <c r="D16" s="566"/>
      <c r="E16" s="175" t="s">
        <v>71</v>
      </c>
      <c r="F16" s="178">
        <f>(2*3000)+(14*300)</f>
        <v>10200</v>
      </c>
    </row>
    <row r="17" spans="2:7" ht="27" customHeight="1" x14ac:dyDescent="0.35">
      <c r="B17" s="640"/>
      <c r="C17" s="119" t="s">
        <v>208</v>
      </c>
      <c r="D17" s="566"/>
      <c r="E17" s="568" t="s">
        <v>73</v>
      </c>
      <c r="F17" s="570">
        <f>15430.62/2</f>
        <v>7715.31</v>
      </c>
    </row>
    <row r="18" spans="2:7" ht="24" x14ac:dyDescent="0.35">
      <c r="B18" s="569"/>
      <c r="C18" s="119" t="s">
        <v>360</v>
      </c>
      <c r="D18" s="567"/>
      <c r="E18" s="569"/>
      <c r="F18" s="572"/>
    </row>
    <row r="19" spans="2:7" x14ac:dyDescent="0.25">
      <c r="B19" s="245" t="s">
        <v>256</v>
      </c>
      <c r="C19" s="135"/>
      <c r="D19" s="50"/>
      <c r="E19" s="135"/>
      <c r="F19" s="246">
        <f>F15+F17+F16</f>
        <v>117026.11148769299</v>
      </c>
    </row>
    <row r="20" spans="2:7" x14ac:dyDescent="0.35">
      <c r="B20" s="194" t="s">
        <v>79</v>
      </c>
      <c r="C20" s="187"/>
      <c r="D20" s="187"/>
      <c r="E20" s="188"/>
      <c r="F20" s="189">
        <f>F19+F11</f>
        <v>240352.22297538599</v>
      </c>
      <c r="G20" s="258"/>
    </row>
    <row r="21" spans="2:7" x14ac:dyDescent="0.35">
      <c r="B21" s="191" t="s">
        <v>264</v>
      </c>
      <c r="C21" s="191"/>
      <c r="D21" s="191"/>
      <c r="E21" s="192"/>
      <c r="F21" s="193">
        <f>0.07*F20</f>
        <v>16824.655608277022</v>
      </c>
      <c r="G21" s="258"/>
    </row>
    <row r="22" spans="2:7" x14ac:dyDescent="0.35">
      <c r="B22" s="194" t="s">
        <v>77</v>
      </c>
      <c r="C22" s="187"/>
      <c r="D22" s="187"/>
      <c r="E22" s="188"/>
      <c r="F22" s="189">
        <f>SUM(F20:F21)</f>
        <v>257176.878583663</v>
      </c>
      <c r="G22" s="258"/>
    </row>
    <row r="25" spans="2:7" x14ac:dyDescent="0.35">
      <c r="B25" s="195" t="s">
        <v>108</v>
      </c>
      <c r="C25" s="195" t="s">
        <v>2</v>
      </c>
      <c r="D25" s="195" t="s">
        <v>65</v>
      </c>
      <c r="E25" s="196" t="s">
        <v>66</v>
      </c>
      <c r="F25" s="195" t="s">
        <v>1</v>
      </c>
    </row>
    <row r="26" spans="2:7" x14ac:dyDescent="0.35">
      <c r="B26" s="141" t="s">
        <v>67</v>
      </c>
      <c r="C26" s="197">
        <f>F7+F15</f>
        <v>198221.60297538599</v>
      </c>
      <c r="D26" s="198"/>
      <c r="E26" s="199"/>
      <c r="F26" s="200">
        <f t="shared" ref="F26:F31" si="0">SUM(C26:E26)</f>
        <v>198221.60297538599</v>
      </c>
    </row>
    <row r="27" spans="2:7" x14ac:dyDescent="0.35">
      <c r="B27" s="141" t="s">
        <v>71</v>
      </c>
      <c r="C27" s="197">
        <f>F16+F9</f>
        <v>26700</v>
      </c>
      <c r="D27" s="198"/>
      <c r="E27" s="199"/>
      <c r="F27" s="200">
        <f t="shared" si="0"/>
        <v>26700</v>
      </c>
    </row>
    <row r="28" spans="2:7" x14ac:dyDescent="0.35">
      <c r="B28" s="142" t="s">
        <v>73</v>
      </c>
      <c r="C28" s="197">
        <f>F17+F10</f>
        <v>15430.62</v>
      </c>
      <c r="D28" s="198"/>
      <c r="E28" s="199"/>
      <c r="F28" s="200">
        <f t="shared" si="0"/>
        <v>15430.62</v>
      </c>
    </row>
    <row r="29" spans="2:7" x14ac:dyDescent="0.35">
      <c r="B29" s="201" t="s">
        <v>79</v>
      </c>
      <c r="C29" s="202">
        <f>C26+C27+C28</f>
        <v>240352.22297538599</v>
      </c>
      <c r="D29" s="202"/>
      <c r="E29" s="203"/>
      <c r="F29" s="202">
        <f t="shared" si="0"/>
        <v>240352.22297538599</v>
      </c>
      <c r="G29" s="260">
        <f>C45+C56</f>
        <v>240352.22297538599</v>
      </c>
    </row>
    <row r="30" spans="2:7" x14ac:dyDescent="0.35">
      <c r="B30" s="191" t="s">
        <v>109</v>
      </c>
      <c r="C30" s="221">
        <f>0.07*C29</f>
        <v>16824.655608277022</v>
      </c>
      <c r="D30" s="198"/>
      <c r="E30" s="241"/>
      <c r="F30" s="200">
        <f t="shared" si="0"/>
        <v>16824.655608277022</v>
      </c>
    </row>
    <row r="31" spans="2:7" x14ac:dyDescent="0.35">
      <c r="B31" s="210" t="s">
        <v>1</v>
      </c>
      <c r="C31" s="235">
        <f>C30+C29</f>
        <v>257176.878583663</v>
      </c>
      <c r="D31" s="242"/>
      <c r="E31" s="249"/>
      <c r="F31" s="211">
        <f t="shared" si="0"/>
        <v>257176.878583663</v>
      </c>
    </row>
    <row r="33" spans="2:6" ht="12.5" thickBot="1" x14ac:dyDescent="0.4">
      <c r="B33" s="213" t="s">
        <v>274</v>
      </c>
      <c r="C33" s="214">
        <f>'Comparativo 2019'!F7</f>
        <v>240352</v>
      </c>
      <c r="D33" s="214">
        <f>'Comparativo 2019'!G7</f>
        <v>0</v>
      </c>
      <c r="E33" s="215">
        <f>'Comparativo 2019'!H7</f>
        <v>0</v>
      </c>
      <c r="F33" s="214">
        <f>'Comparativo 2019'!I7</f>
        <v>240352</v>
      </c>
    </row>
    <row r="34" spans="2:6" ht="12.5" thickTop="1" x14ac:dyDescent="0.35"/>
    <row r="36" spans="2:6" x14ac:dyDescent="0.35">
      <c r="B36" s="589" t="s">
        <v>255</v>
      </c>
      <c r="C36" s="589"/>
      <c r="D36" s="589"/>
      <c r="E36" s="589"/>
      <c r="F36" s="589"/>
    </row>
    <row r="37" spans="2:6" x14ac:dyDescent="0.35">
      <c r="B37" s="216" t="s">
        <v>110</v>
      </c>
      <c r="C37" s="217" t="s">
        <v>60</v>
      </c>
      <c r="D37" s="218" t="s">
        <v>2</v>
      </c>
      <c r="E37" s="219" t="s">
        <v>65</v>
      </c>
      <c r="F37" s="218" t="s">
        <v>66</v>
      </c>
    </row>
    <row r="38" spans="2:6" x14ac:dyDescent="0.35">
      <c r="B38" s="141" t="s">
        <v>67</v>
      </c>
      <c r="C38" s="220">
        <f>D38+E38+F38</f>
        <v>99110.801487692996</v>
      </c>
      <c r="D38" s="221">
        <f>+F7</f>
        <v>99110.801487692996</v>
      </c>
      <c r="E38" s="222"/>
      <c r="F38" s="223"/>
    </row>
    <row r="39" spans="2:6" x14ac:dyDescent="0.3">
      <c r="B39" s="261" t="s">
        <v>68</v>
      </c>
      <c r="C39" s="220">
        <f t="shared" ref="C39:C44" si="1">D39+E39+F39</f>
        <v>0</v>
      </c>
      <c r="D39" s="221"/>
      <c r="E39" s="222"/>
      <c r="F39" s="223"/>
    </row>
    <row r="40" spans="2:6" x14ac:dyDescent="0.3">
      <c r="B40" s="264" t="s">
        <v>69</v>
      </c>
      <c r="C40" s="220">
        <f t="shared" si="1"/>
        <v>0</v>
      </c>
      <c r="D40" s="221"/>
      <c r="E40" s="222"/>
      <c r="F40" s="223"/>
    </row>
    <row r="41" spans="2:6" x14ac:dyDescent="0.3">
      <c r="B41" s="261" t="s">
        <v>70</v>
      </c>
      <c r="C41" s="220">
        <f t="shared" si="1"/>
        <v>0</v>
      </c>
      <c r="D41" s="221"/>
      <c r="E41" s="222"/>
      <c r="F41" s="223"/>
    </row>
    <row r="42" spans="2:6" x14ac:dyDescent="0.35">
      <c r="B42" s="191" t="s">
        <v>71</v>
      </c>
      <c r="C42" s="220">
        <f t="shared" si="1"/>
        <v>16500</v>
      </c>
      <c r="D42" s="221">
        <f>+F9</f>
        <v>16500</v>
      </c>
      <c r="E42" s="222"/>
      <c r="F42" s="223"/>
    </row>
    <row r="43" spans="2:6" x14ac:dyDescent="0.3">
      <c r="B43" s="264" t="s">
        <v>72</v>
      </c>
      <c r="C43" s="220">
        <f t="shared" si="1"/>
        <v>0</v>
      </c>
      <c r="D43" s="221"/>
      <c r="E43" s="222"/>
      <c r="F43" s="223"/>
    </row>
    <row r="44" spans="2:6" x14ac:dyDescent="0.35">
      <c r="B44" s="192" t="s">
        <v>73</v>
      </c>
      <c r="C44" s="220">
        <f t="shared" si="1"/>
        <v>7715.31</v>
      </c>
      <c r="D44" s="221">
        <f>+F10</f>
        <v>7715.31</v>
      </c>
      <c r="E44" s="222"/>
      <c r="F44" s="223"/>
    </row>
    <row r="45" spans="2:6" x14ac:dyDescent="0.35">
      <c r="B45" s="140" t="s">
        <v>183</v>
      </c>
      <c r="C45" s="224">
        <f>SUM(C38:C44)</f>
        <v>123326.11148769299</v>
      </c>
      <c r="D45" s="224">
        <f>SUM(D38:D44)</f>
        <v>123326.11148769299</v>
      </c>
      <c r="E45" s="225">
        <f>SUM(E38:E44)</f>
        <v>0</v>
      </c>
      <c r="F45" s="224">
        <f>SUM(F38:F44)</f>
        <v>0</v>
      </c>
    </row>
    <row r="47" spans="2:6" ht="33.75" customHeight="1" x14ac:dyDescent="0.35">
      <c r="B47" s="576" t="s">
        <v>143</v>
      </c>
      <c r="C47" s="577"/>
      <c r="D47" s="577"/>
      <c r="E47" s="577"/>
      <c r="F47" s="578"/>
    </row>
    <row r="48" spans="2:6" x14ac:dyDescent="0.35">
      <c r="B48" s="216" t="s">
        <v>110</v>
      </c>
      <c r="C48" s="217" t="s">
        <v>60</v>
      </c>
      <c r="D48" s="218" t="s">
        <v>2</v>
      </c>
      <c r="E48" s="219" t="s">
        <v>65</v>
      </c>
      <c r="F48" s="218" t="s">
        <v>66</v>
      </c>
    </row>
    <row r="49" spans="2:6" x14ac:dyDescent="0.35">
      <c r="B49" s="141" t="s">
        <v>67</v>
      </c>
      <c r="C49" s="220">
        <f>D49+E49+F49</f>
        <v>99110.801487692996</v>
      </c>
      <c r="D49" s="221">
        <f>+F15</f>
        <v>99110.801487692996</v>
      </c>
      <c r="E49" s="222"/>
      <c r="F49" s="223"/>
    </row>
    <row r="50" spans="2:6" x14ac:dyDescent="0.3">
      <c r="B50" s="261" t="s">
        <v>68</v>
      </c>
      <c r="C50" s="220">
        <f t="shared" ref="C50:C55" si="2">D50+E50+F50</f>
        <v>0</v>
      </c>
      <c r="D50" s="221"/>
      <c r="E50" s="222"/>
      <c r="F50" s="223"/>
    </row>
    <row r="51" spans="2:6" x14ac:dyDescent="0.3">
      <c r="B51" s="264" t="s">
        <v>69</v>
      </c>
      <c r="C51" s="220">
        <f t="shared" si="2"/>
        <v>0</v>
      </c>
      <c r="D51" s="221"/>
      <c r="E51" s="222"/>
      <c r="F51" s="223"/>
    </row>
    <row r="52" spans="2:6" x14ac:dyDescent="0.3">
      <c r="B52" s="261" t="s">
        <v>70</v>
      </c>
      <c r="C52" s="220">
        <f t="shared" si="2"/>
        <v>0</v>
      </c>
      <c r="D52" s="221"/>
      <c r="E52" s="222"/>
      <c r="F52" s="223"/>
    </row>
    <row r="53" spans="2:6" x14ac:dyDescent="0.35">
      <c r="B53" s="191" t="s">
        <v>71</v>
      </c>
      <c r="C53" s="220">
        <f t="shared" si="2"/>
        <v>10200</v>
      </c>
      <c r="D53" s="221">
        <f>+F16</f>
        <v>10200</v>
      </c>
      <c r="E53" s="222"/>
      <c r="F53" s="223"/>
    </row>
    <row r="54" spans="2:6" x14ac:dyDescent="0.3">
      <c r="B54" s="264" t="s">
        <v>72</v>
      </c>
      <c r="C54" s="220">
        <f t="shared" si="2"/>
        <v>0</v>
      </c>
      <c r="D54" s="221"/>
      <c r="E54" s="222"/>
      <c r="F54" s="223"/>
    </row>
    <row r="55" spans="2:6" x14ac:dyDescent="0.35">
      <c r="B55" s="192" t="s">
        <v>73</v>
      </c>
      <c r="C55" s="220">
        <f t="shared" si="2"/>
        <v>7715.31</v>
      </c>
      <c r="D55" s="221">
        <f>+F17</f>
        <v>7715.31</v>
      </c>
      <c r="E55" s="222"/>
      <c r="F55" s="223"/>
    </row>
    <row r="56" spans="2:6" x14ac:dyDescent="0.35">
      <c r="B56" s="140" t="s">
        <v>183</v>
      </c>
      <c r="C56" s="224">
        <f>SUM(C49:C55)</f>
        <v>117026.11148769299</v>
      </c>
      <c r="D56" s="224">
        <f>SUM(D49:D55)</f>
        <v>117026.11148769299</v>
      </c>
      <c r="E56" s="224">
        <f>SUM(E49:E55)</f>
        <v>0</v>
      </c>
      <c r="F56" s="224">
        <f>SUM(F49:F55)</f>
        <v>0</v>
      </c>
    </row>
  </sheetData>
  <mergeCells count="20">
    <mergeCell ref="B47:F47"/>
    <mergeCell ref="B36:F36"/>
    <mergeCell ref="B7:B10"/>
    <mergeCell ref="B15:B18"/>
    <mergeCell ref="D15:D18"/>
    <mergeCell ref="E17:E18"/>
    <mergeCell ref="F17:F18"/>
    <mergeCell ref="B4:F4"/>
    <mergeCell ref="E5:F5"/>
    <mergeCell ref="D7:D10"/>
    <mergeCell ref="B12:F12"/>
    <mergeCell ref="E13:F13"/>
    <mergeCell ref="C13:C14"/>
    <mergeCell ref="D5:D6"/>
    <mergeCell ref="E7:E8"/>
    <mergeCell ref="F7:F8"/>
    <mergeCell ref="D13:D14"/>
    <mergeCell ref="B13:B14"/>
    <mergeCell ref="B5:B6"/>
    <mergeCell ref="C5:C6"/>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58"/>
  <sheetViews>
    <sheetView showGridLines="0" topLeftCell="A22" zoomScaleNormal="100" workbookViewId="0">
      <selection activeCell="B49" sqref="B49:F49"/>
    </sheetView>
  </sheetViews>
  <sheetFormatPr defaultColWidth="9.1796875" defaultRowHeight="12" x14ac:dyDescent="0.3"/>
  <cols>
    <col min="1" max="1" width="1.54296875" style="177" customWidth="1"/>
    <col min="2" max="3" width="54.81640625" style="206" customWidth="1"/>
    <col min="4" max="4" width="12.453125" style="206" customWidth="1"/>
    <col min="5" max="5" width="25.7265625" style="206" customWidth="1"/>
    <col min="6" max="6" width="13.81640625" style="206" customWidth="1"/>
    <col min="7" max="7" width="20.81640625" style="177" customWidth="1"/>
    <col min="8" max="16384" width="9.1796875" style="177"/>
  </cols>
  <sheetData>
    <row r="3" spans="2:6" x14ac:dyDescent="0.3">
      <c r="B3" s="137" t="s">
        <v>209</v>
      </c>
      <c r="C3" s="137"/>
      <c r="D3" s="137"/>
      <c r="E3" s="137"/>
      <c r="F3" s="138"/>
    </row>
    <row r="4" spans="2:6" ht="12" customHeight="1" x14ac:dyDescent="0.3">
      <c r="B4" s="589" t="s">
        <v>255</v>
      </c>
      <c r="C4" s="589"/>
      <c r="D4" s="589"/>
      <c r="E4" s="589"/>
      <c r="F4" s="589"/>
    </row>
    <row r="5" spans="2:6" x14ac:dyDescent="0.3">
      <c r="B5" s="579" t="s">
        <v>102</v>
      </c>
      <c r="C5" s="581" t="s">
        <v>103</v>
      </c>
      <c r="D5" s="581" t="s">
        <v>104</v>
      </c>
      <c r="E5" s="583" t="s">
        <v>105</v>
      </c>
      <c r="F5" s="583"/>
    </row>
    <row r="6" spans="2:6" x14ac:dyDescent="0.3">
      <c r="B6" s="580"/>
      <c r="C6" s="582"/>
      <c r="D6" s="582"/>
      <c r="E6" s="165" t="s">
        <v>110</v>
      </c>
      <c r="F6" s="139" t="s">
        <v>107</v>
      </c>
    </row>
    <row r="7" spans="2:6" x14ac:dyDescent="0.3">
      <c r="B7" s="554" t="s">
        <v>211</v>
      </c>
      <c r="C7" s="164" t="s">
        <v>213</v>
      </c>
      <c r="D7" s="566" t="s">
        <v>2</v>
      </c>
      <c r="E7" s="143" t="s">
        <v>67</v>
      </c>
      <c r="F7" s="157">
        <v>156492.884916699</v>
      </c>
    </row>
    <row r="8" spans="2:6" ht="24" customHeight="1" x14ac:dyDescent="0.3">
      <c r="B8" s="555"/>
      <c r="C8" s="554" t="s">
        <v>214</v>
      </c>
      <c r="D8" s="566"/>
      <c r="E8" s="143" t="s">
        <v>71</v>
      </c>
      <c r="F8" s="157">
        <v>9173.5993910142606</v>
      </c>
    </row>
    <row r="9" spans="2:6" ht="24" x14ac:dyDescent="0.3">
      <c r="B9" s="556"/>
      <c r="C9" s="556"/>
      <c r="D9" s="567"/>
      <c r="E9" s="506" t="s">
        <v>73</v>
      </c>
      <c r="F9" s="178">
        <v>147.44317103386479</v>
      </c>
    </row>
    <row r="10" spans="2:6" x14ac:dyDescent="0.2">
      <c r="B10" s="245" t="s">
        <v>256</v>
      </c>
      <c r="C10" s="135"/>
      <c r="D10" s="50"/>
      <c r="E10" s="135"/>
      <c r="F10" s="246">
        <f>SUM(F7:F9)</f>
        <v>165813.92747874712</v>
      </c>
    </row>
    <row r="11" spans="2:6" ht="31.5" customHeight="1" x14ac:dyDescent="0.3">
      <c r="B11" s="576" t="s">
        <v>143</v>
      </c>
      <c r="C11" s="577"/>
      <c r="D11" s="577"/>
      <c r="E11" s="577"/>
      <c r="F11" s="578"/>
    </row>
    <row r="12" spans="2:6" x14ac:dyDescent="0.3">
      <c r="B12" s="579" t="s">
        <v>102</v>
      </c>
      <c r="C12" s="581" t="s">
        <v>103</v>
      </c>
      <c r="D12" s="581" t="s">
        <v>104</v>
      </c>
      <c r="E12" s="583" t="s">
        <v>105</v>
      </c>
      <c r="F12" s="583"/>
    </row>
    <row r="13" spans="2:6" x14ac:dyDescent="0.3">
      <c r="B13" s="580"/>
      <c r="C13" s="582"/>
      <c r="D13" s="582"/>
      <c r="E13" s="165" t="s">
        <v>110</v>
      </c>
      <c r="F13" s="165" t="s">
        <v>107</v>
      </c>
    </row>
    <row r="14" spans="2:6" ht="33.75" customHeight="1" x14ac:dyDescent="0.3">
      <c r="B14" s="677" t="s">
        <v>212</v>
      </c>
      <c r="C14" s="240" t="s">
        <v>215</v>
      </c>
      <c r="D14" s="600" t="s">
        <v>65</v>
      </c>
      <c r="E14" s="133" t="s">
        <v>67</v>
      </c>
      <c r="F14" s="158">
        <v>132961.69</v>
      </c>
    </row>
    <row r="15" spans="2:6" ht="41.25" customHeight="1" x14ac:dyDescent="0.3">
      <c r="B15" s="678"/>
      <c r="C15" s="466" t="s">
        <v>216</v>
      </c>
      <c r="D15" s="601"/>
      <c r="E15" s="133" t="s">
        <v>71</v>
      </c>
      <c r="F15" s="158">
        <v>22000</v>
      </c>
    </row>
    <row r="16" spans="2:6" ht="37.5" customHeight="1" x14ac:dyDescent="0.3">
      <c r="B16" s="678"/>
      <c r="C16" s="466" t="s">
        <v>300</v>
      </c>
      <c r="D16" s="601"/>
      <c r="E16" s="562" t="s">
        <v>73</v>
      </c>
      <c r="F16" s="679">
        <v>14018.69</v>
      </c>
    </row>
    <row r="17" spans="2:7" ht="35.25" customHeight="1" x14ac:dyDescent="0.3">
      <c r="B17" s="678"/>
      <c r="C17" s="466" t="s">
        <v>301</v>
      </c>
      <c r="D17" s="601"/>
      <c r="E17" s="564"/>
      <c r="F17" s="680"/>
    </row>
    <row r="18" spans="2:7" x14ac:dyDescent="0.2">
      <c r="B18" s="245" t="s">
        <v>183</v>
      </c>
      <c r="C18" s="135"/>
      <c r="D18" s="50"/>
      <c r="E18" s="135"/>
      <c r="F18" s="246">
        <f>SUM(F14:F17)</f>
        <v>168980.38</v>
      </c>
    </row>
    <row r="19" spans="2:7" ht="24" x14ac:dyDescent="0.3">
      <c r="B19" s="554" t="s">
        <v>302</v>
      </c>
      <c r="C19" s="175" t="s">
        <v>303</v>
      </c>
      <c r="D19" s="566" t="s">
        <v>2</v>
      </c>
      <c r="E19" s="143" t="s">
        <v>67</v>
      </c>
      <c r="F19" s="157">
        <v>31816.731472300002</v>
      </c>
    </row>
    <row r="20" spans="2:7" ht="24" customHeight="1" x14ac:dyDescent="0.3">
      <c r="B20" s="555"/>
      <c r="C20" s="568" t="s">
        <v>304</v>
      </c>
      <c r="D20" s="566"/>
      <c r="E20" s="143" t="s">
        <v>71</v>
      </c>
      <c r="F20" s="157">
        <v>4738.3985790332799</v>
      </c>
    </row>
    <row r="21" spans="2:7" ht="24" x14ac:dyDescent="0.3">
      <c r="B21" s="556"/>
      <c r="C21" s="569"/>
      <c r="D21" s="567"/>
      <c r="E21" s="175" t="s">
        <v>73</v>
      </c>
      <c r="F21" s="178">
        <v>32.534065745686618</v>
      </c>
    </row>
    <row r="22" spans="2:7" x14ac:dyDescent="0.2">
      <c r="B22" s="245" t="s">
        <v>183</v>
      </c>
      <c r="C22" s="135"/>
      <c r="D22" s="50"/>
      <c r="E22" s="135"/>
      <c r="F22" s="246">
        <f>SUM(F19:F21)</f>
        <v>36587.664117078966</v>
      </c>
    </row>
    <row r="23" spans="2:7" x14ac:dyDescent="0.2">
      <c r="B23" s="194" t="s">
        <v>79</v>
      </c>
      <c r="C23" s="187"/>
      <c r="D23" s="187"/>
      <c r="E23" s="187"/>
      <c r="F23" s="255">
        <f>F18+F22+F10</f>
        <v>371381.97159582609</v>
      </c>
      <c r="G23" s="190"/>
    </row>
    <row r="24" spans="2:7" x14ac:dyDescent="0.2">
      <c r="B24" s="191" t="s">
        <v>264</v>
      </c>
      <c r="C24" s="191"/>
      <c r="D24" s="191"/>
      <c r="E24" s="191"/>
      <c r="F24" s="467">
        <f>0.07*F23</f>
        <v>25996.738011707828</v>
      </c>
      <c r="G24" s="190"/>
    </row>
    <row r="25" spans="2:7" x14ac:dyDescent="0.2">
      <c r="B25" s="194" t="s">
        <v>77</v>
      </c>
      <c r="C25" s="187"/>
      <c r="D25" s="187"/>
      <c r="E25" s="187"/>
      <c r="F25" s="255">
        <f>SUM(F23:F24)</f>
        <v>397378.70960753394</v>
      </c>
      <c r="G25" s="190"/>
    </row>
    <row r="28" spans="2:7" x14ac:dyDescent="0.2">
      <c r="B28" s="195" t="s">
        <v>108</v>
      </c>
      <c r="C28" s="195" t="s">
        <v>2</v>
      </c>
      <c r="D28" s="195" t="s">
        <v>65</v>
      </c>
      <c r="E28" s="195" t="s">
        <v>66</v>
      </c>
      <c r="F28" s="195" t="s">
        <v>61</v>
      </c>
    </row>
    <row r="29" spans="2:7" x14ac:dyDescent="0.2">
      <c r="B29" s="141" t="s">
        <v>67</v>
      </c>
      <c r="C29" s="197">
        <f>F19+F7</f>
        <v>188309.61638899898</v>
      </c>
      <c r="D29" s="198">
        <f>F14</f>
        <v>132961.69</v>
      </c>
      <c r="E29" s="232"/>
      <c r="F29" s="200">
        <f t="shared" ref="F29:F34" si="0">SUM(C29:E29)</f>
        <v>321271.30638899899</v>
      </c>
    </row>
    <row r="30" spans="2:7" x14ac:dyDescent="0.2">
      <c r="B30" s="141" t="s">
        <v>71</v>
      </c>
      <c r="C30" s="197">
        <f>F20+F8</f>
        <v>13911.997970047541</v>
      </c>
      <c r="D30" s="198">
        <f>F15</f>
        <v>22000</v>
      </c>
      <c r="E30" s="232"/>
      <c r="F30" s="200">
        <f t="shared" si="0"/>
        <v>35911.997970047538</v>
      </c>
    </row>
    <row r="31" spans="2:7" x14ac:dyDescent="0.2">
      <c r="B31" s="142" t="s">
        <v>73</v>
      </c>
      <c r="C31" s="197">
        <f>F21+F9</f>
        <v>179.97723677955139</v>
      </c>
      <c r="D31" s="198">
        <f>F16</f>
        <v>14018.69</v>
      </c>
      <c r="E31" s="232"/>
      <c r="F31" s="200">
        <f t="shared" si="0"/>
        <v>14198.667236779553</v>
      </c>
    </row>
    <row r="32" spans="2:7" x14ac:dyDescent="0.2">
      <c r="B32" s="201" t="s">
        <v>79</v>
      </c>
      <c r="C32" s="202">
        <f>SUM(C29:C31)</f>
        <v>202401.59159582609</v>
      </c>
      <c r="D32" s="202">
        <f>SUM(D29:D31)</f>
        <v>168980.38</v>
      </c>
      <c r="E32" s="202"/>
      <c r="F32" s="202">
        <f t="shared" si="0"/>
        <v>371381.97159582609</v>
      </c>
      <c r="G32" s="248">
        <f>C47+C58</f>
        <v>371381.97159582609</v>
      </c>
    </row>
    <row r="33" spans="2:6" x14ac:dyDescent="0.2">
      <c r="B33" s="191" t="s">
        <v>109</v>
      </c>
      <c r="C33" s="221">
        <f>0.07*C32</f>
        <v>14168.111411707827</v>
      </c>
      <c r="D33" s="198">
        <f>0.07*D32</f>
        <v>11828.626600000001</v>
      </c>
      <c r="E33" s="223"/>
      <c r="F33" s="200">
        <f t="shared" si="0"/>
        <v>25996.738011707828</v>
      </c>
    </row>
    <row r="34" spans="2:6" x14ac:dyDescent="0.2">
      <c r="B34" s="210" t="s">
        <v>1</v>
      </c>
      <c r="C34" s="235">
        <f>SUM(C32:C33)</f>
        <v>216569.70300753391</v>
      </c>
      <c r="D34" s="242">
        <f>SUM(D32:D33)</f>
        <v>180809.00659999999</v>
      </c>
      <c r="E34" s="249"/>
      <c r="F34" s="211">
        <f t="shared" si="0"/>
        <v>397378.70960753388</v>
      </c>
    </row>
    <row r="36" spans="2:6" ht="12.5" thickBot="1" x14ac:dyDescent="0.35">
      <c r="B36" s="213" t="s">
        <v>274</v>
      </c>
      <c r="C36" s="214">
        <f>'Comparativo 2019'!F12</f>
        <v>202402</v>
      </c>
      <c r="D36" s="214">
        <f>'Comparativo 2019'!G12</f>
        <v>162420</v>
      </c>
      <c r="E36" s="214">
        <f>'Comparativo 2019'!H12</f>
        <v>0</v>
      </c>
      <c r="F36" s="214">
        <f>'Comparativo 2019'!I12</f>
        <v>364822</v>
      </c>
    </row>
    <row r="37" spans="2:6" ht="12.75" thickTop="1" x14ac:dyDescent="0.2"/>
    <row r="38" spans="2:6" x14ac:dyDescent="0.3">
      <c r="B38" s="589" t="s">
        <v>255</v>
      </c>
      <c r="C38" s="589"/>
      <c r="D38" s="589"/>
      <c r="E38" s="589"/>
      <c r="F38" s="589"/>
    </row>
    <row r="39" spans="2:6" x14ac:dyDescent="0.3">
      <c r="B39" s="216" t="s">
        <v>110</v>
      </c>
      <c r="C39" s="217" t="s">
        <v>60</v>
      </c>
      <c r="D39" s="218" t="s">
        <v>2</v>
      </c>
      <c r="E39" s="237" t="s">
        <v>65</v>
      </c>
      <c r="F39" s="218" t="s">
        <v>66</v>
      </c>
    </row>
    <row r="40" spans="2:6" x14ac:dyDescent="0.2">
      <c r="B40" s="141" t="s">
        <v>67</v>
      </c>
      <c r="C40" s="220">
        <f>D40+E40+F40</f>
        <v>156492.884916699</v>
      </c>
      <c r="D40" s="221">
        <f>+F7</f>
        <v>156492.884916699</v>
      </c>
      <c r="E40" s="198"/>
      <c r="F40" s="223"/>
    </row>
    <row r="41" spans="2:6" x14ac:dyDescent="0.2">
      <c r="B41" s="261" t="s">
        <v>68</v>
      </c>
      <c r="C41" s="220">
        <f t="shared" ref="C41:C46" si="1">D41+E41+F41</f>
        <v>0</v>
      </c>
      <c r="D41" s="221"/>
      <c r="E41" s="198"/>
      <c r="F41" s="223"/>
    </row>
    <row r="42" spans="2:6" x14ac:dyDescent="0.3">
      <c r="B42" s="264" t="s">
        <v>69</v>
      </c>
      <c r="C42" s="220">
        <f t="shared" si="1"/>
        <v>0</v>
      </c>
      <c r="D42" s="221"/>
      <c r="E42" s="198"/>
      <c r="F42" s="223"/>
    </row>
    <row r="43" spans="2:6" x14ac:dyDescent="0.2">
      <c r="B43" s="261" t="s">
        <v>70</v>
      </c>
      <c r="C43" s="220">
        <f t="shared" si="1"/>
        <v>0</v>
      </c>
      <c r="D43" s="221"/>
      <c r="E43" s="198"/>
      <c r="F43" s="223"/>
    </row>
    <row r="44" spans="2:6" x14ac:dyDescent="0.2">
      <c r="B44" s="191" t="s">
        <v>71</v>
      </c>
      <c r="C44" s="220">
        <f t="shared" si="1"/>
        <v>9173.5993910142606</v>
      </c>
      <c r="D44" s="221">
        <f>+F8</f>
        <v>9173.5993910142606</v>
      </c>
      <c r="E44" s="198"/>
      <c r="F44" s="223"/>
    </row>
    <row r="45" spans="2:6" x14ac:dyDescent="0.2">
      <c r="B45" s="264" t="s">
        <v>72</v>
      </c>
      <c r="C45" s="220">
        <f t="shared" si="1"/>
        <v>0</v>
      </c>
      <c r="D45" s="221"/>
      <c r="E45" s="198"/>
      <c r="F45" s="223"/>
    </row>
    <row r="46" spans="2:6" x14ac:dyDescent="0.2">
      <c r="B46" s="192" t="s">
        <v>73</v>
      </c>
      <c r="C46" s="220">
        <f t="shared" si="1"/>
        <v>147.44317103386479</v>
      </c>
      <c r="D46" s="221">
        <f>+F9</f>
        <v>147.44317103386479</v>
      </c>
      <c r="E46" s="198"/>
      <c r="F46" s="223"/>
    </row>
    <row r="47" spans="2:6" x14ac:dyDescent="0.2">
      <c r="B47" s="513" t="s">
        <v>183</v>
      </c>
      <c r="C47" s="224">
        <f>SUM(C40:C46)</f>
        <v>165813.92747874712</v>
      </c>
      <c r="D47" s="224">
        <f>SUM(D40:D46)</f>
        <v>165813.92747874712</v>
      </c>
      <c r="E47" s="224">
        <f>SUM(E40:E46)</f>
        <v>0</v>
      </c>
      <c r="F47" s="224">
        <f>SUM(F40:F46)</f>
        <v>0</v>
      </c>
    </row>
    <row r="49" spans="2:6" ht="26.25" customHeight="1" x14ac:dyDescent="0.3">
      <c r="B49" s="576" t="s">
        <v>143</v>
      </c>
      <c r="C49" s="577"/>
      <c r="D49" s="577"/>
      <c r="E49" s="577"/>
      <c r="F49" s="578"/>
    </row>
    <row r="50" spans="2:6" x14ac:dyDescent="0.3">
      <c r="B50" s="216" t="s">
        <v>110</v>
      </c>
      <c r="C50" s="217" t="s">
        <v>60</v>
      </c>
      <c r="D50" s="218" t="s">
        <v>2</v>
      </c>
      <c r="E50" s="237" t="s">
        <v>65</v>
      </c>
      <c r="F50" s="218" t="s">
        <v>66</v>
      </c>
    </row>
    <row r="51" spans="2:6" x14ac:dyDescent="0.3">
      <c r="B51" s="141" t="s">
        <v>67</v>
      </c>
      <c r="C51" s="220">
        <f>D51+E51+F51</f>
        <v>164778.42147230002</v>
      </c>
      <c r="D51" s="221">
        <f>+F19</f>
        <v>31816.731472300002</v>
      </c>
      <c r="E51" s="198">
        <f>+D29</f>
        <v>132961.69</v>
      </c>
      <c r="F51" s="223"/>
    </row>
    <row r="52" spans="2:6" x14ac:dyDescent="0.3">
      <c r="B52" s="261" t="s">
        <v>68</v>
      </c>
      <c r="C52" s="220">
        <f t="shared" ref="C52:C57" si="2">D52+E52+F52</f>
        <v>0</v>
      </c>
      <c r="D52" s="221"/>
      <c r="E52" s="198"/>
      <c r="F52" s="223"/>
    </row>
    <row r="53" spans="2:6" x14ac:dyDescent="0.3">
      <c r="B53" s="264" t="s">
        <v>69</v>
      </c>
      <c r="C53" s="220">
        <f t="shared" si="2"/>
        <v>0</v>
      </c>
      <c r="D53" s="221"/>
      <c r="E53" s="198"/>
      <c r="F53" s="223"/>
    </row>
    <row r="54" spans="2:6" x14ac:dyDescent="0.3">
      <c r="B54" s="261" t="s">
        <v>70</v>
      </c>
      <c r="C54" s="220">
        <f t="shared" si="2"/>
        <v>0</v>
      </c>
      <c r="D54" s="221"/>
      <c r="E54" s="198"/>
      <c r="F54" s="223"/>
    </row>
    <row r="55" spans="2:6" x14ac:dyDescent="0.3">
      <c r="B55" s="191" t="s">
        <v>71</v>
      </c>
      <c r="C55" s="220">
        <f t="shared" si="2"/>
        <v>26738.398579033281</v>
      </c>
      <c r="D55" s="221">
        <f>+F20</f>
        <v>4738.3985790332799</v>
      </c>
      <c r="E55" s="198">
        <f>+D30</f>
        <v>22000</v>
      </c>
      <c r="F55" s="223"/>
    </row>
    <row r="56" spans="2:6" x14ac:dyDescent="0.3">
      <c r="B56" s="264" t="s">
        <v>72</v>
      </c>
      <c r="C56" s="220">
        <f t="shared" si="2"/>
        <v>0</v>
      </c>
      <c r="D56" s="221"/>
      <c r="E56" s="198"/>
      <c r="F56" s="223"/>
    </row>
    <row r="57" spans="2:6" x14ac:dyDescent="0.3">
      <c r="B57" s="192" t="s">
        <v>73</v>
      </c>
      <c r="C57" s="220">
        <f t="shared" si="2"/>
        <v>14051.224065745688</v>
      </c>
      <c r="D57" s="221">
        <f>+F21</f>
        <v>32.534065745686618</v>
      </c>
      <c r="E57" s="198">
        <f>+D31</f>
        <v>14018.69</v>
      </c>
      <c r="F57" s="223"/>
    </row>
    <row r="58" spans="2:6" x14ac:dyDescent="0.3">
      <c r="B58" s="140" t="s">
        <v>183</v>
      </c>
      <c r="C58" s="224">
        <f>SUM(C51:C57)</f>
        <v>205568.04411707897</v>
      </c>
      <c r="D58" s="224">
        <f>SUM(D51:D57)</f>
        <v>36587.664117078966</v>
      </c>
      <c r="E58" s="224">
        <f>SUM(E51:E57)</f>
        <v>168980.38</v>
      </c>
      <c r="F58" s="224">
        <f>SUM(F51:F57)</f>
        <v>0</v>
      </c>
    </row>
  </sheetData>
  <mergeCells count="22">
    <mergeCell ref="B4:F4"/>
    <mergeCell ref="B5:B6"/>
    <mergeCell ref="C5:C6"/>
    <mergeCell ref="D5:D6"/>
    <mergeCell ref="E5:F5"/>
    <mergeCell ref="B49:F49"/>
    <mergeCell ref="B38:F38"/>
    <mergeCell ref="B11:F11"/>
    <mergeCell ref="E12:F12"/>
    <mergeCell ref="D19:D21"/>
    <mergeCell ref="B19:B21"/>
    <mergeCell ref="F16:F17"/>
    <mergeCell ref="E16:E17"/>
    <mergeCell ref="C20:C21"/>
    <mergeCell ref="C8:C9"/>
    <mergeCell ref="B7:B9"/>
    <mergeCell ref="D7:D9"/>
    <mergeCell ref="B14:B17"/>
    <mergeCell ref="D14:D17"/>
    <mergeCell ref="B12:B13"/>
    <mergeCell ref="C12:C13"/>
    <mergeCell ref="D12:D13"/>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L70"/>
  <sheetViews>
    <sheetView showGridLines="0" topLeftCell="A25" zoomScaleNormal="100" workbookViewId="0">
      <selection activeCell="B61" sqref="B61:F61"/>
    </sheetView>
  </sheetViews>
  <sheetFormatPr defaultColWidth="9.1796875" defaultRowHeight="12" x14ac:dyDescent="0.35"/>
  <cols>
    <col min="1" max="1" width="1.26953125" style="206" customWidth="1"/>
    <col min="2" max="2" width="59.1796875" style="206" customWidth="1"/>
    <col min="3" max="3" width="51.54296875" style="206" customWidth="1"/>
    <col min="4" max="4" width="10.54296875" style="206" customWidth="1"/>
    <col min="5" max="5" width="29.26953125" style="206" customWidth="1"/>
    <col min="6" max="6" width="8.54296875" style="206" bestFit="1" customWidth="1"/>
    <col min="7" max="7" width="17.7265625" style="206" customWidth="1"/>
    <col min="8" max="16384" width="9.1796875" style="206"/>
  </cols>
  <sheetData>
    <row r="3" spans="2:6" x14ac:dyDescent="0.35">
      <c r="B3" s="137" t="s">
        <v>225</v>
      </c>
      <c r="C3" s="137"/>
      <c r="D3" s="137"/>
      <c r="E3" s="137"/>
      <c r="F3" s="138"/>
    </row>
    <row r="4" spans="2:6" ht="30.75" customHeight="1" x14ac:dyDescent="0.35">
      <c r="B4" s="589" t="s">
        <v>255</v>
      </c>
      <c r="C4" s="589"/>
      <c r="D4" s="589"/>
      <c r="E4" s="589"/>
      <c r="F4" s="589"/>
    </row>
    <row r="5" spans="2:6" ht="16.5" customHeight="1" x14ac:dyDescent="0.35">
      <c r="B5" s="581" t="s">
        <v>102</v>
      </c>
      <c r="C5" s="581" t="s">
        <v>103</v>
      </c>
      <c r="D5" s="583" t="s">
        <v>104</v>
      </c>
      <c r="E5" s="583" t="s">
        <v>105</v>
      </c>
      <c r="F5" s="583"/>
    </row>
    <row r="6" spans="2:6" ht="32.25" customHeight="1" x14ac:dyDescent="0.35">
      <c r="B6" s="582"/>
      <c r="C6" s="582"/>
      <c r="D6" s="583"/>
      <c r="E6" s="165" t="s">
        <v>110</v>
      </c>
      <c r="F6" s="165" t="s">
        <v>107</v>
      </c>
    </row>
    <row r="7" spans="2:6" ht="12" customHeight="1" x14ac:dyDescent="0.35">
      <c r="B7" s="568" t="s">
        <v>217</v>
      </c>
      <c r="C7" s="554" t="s">
        <v>219</v>
      </c>
      <c r="D7" s="565" t="s">
        <v>2</v>
      </c>
      <c r="E7" s="143" t="s">
        <v>67</v>
      </c>
      <c r="F7" s="178">
        <v>107515</v>
      </c>
    </row>
    <row r="8" spans="2:6" ht="17.25" customHeight="1" x14ac:dyDescent="0.35">
      <c r="B8" s="640"/>
      <c r="C8" s="555"/>
      <c r="D8" s="566"/>
      <c r="E8" s="143" t="s">
        <v>71</v>
      </c>
      <c r="F8" s="178">
        <v>10000</v>
      </c>
    </row>
    <row r="9" spans="2:6" ht="25.5" customHeight="1" x14ac:dyDescent="0.35">
      <c r="B9" s="569"/>
      <c r="C9" s="556"/>
      <c r="D9" s="567"/>
      <c r="E9" s="506" t="s">
        <v>73</v>
      </c>
      <c r="F9" s="178"/>
    </row>
    <row r="10" spans="2:6" x14ac:dyDescent="0.25">
      <c r="B10" s="145" t="s">
        <v>256</v>
      </c>
      <c r="C10" s="145"/>
      <c r="D10" s="145"/>
      <c r="E10" s="145"/>
      <c r="F10" s="228">
        <f>SUM(F7:F9)</f>
        <v>117515</v>
      </c>
    </row>
    <row r="11" spans="2:6" ht="30.75" customHeight="1" x14ac:dyDescent="0.35">
      <c r="B11" s="576" t="s">
        <v>143</v>
      </c>
      <c r="C11" s="577"/>
      <c r="D11" s="577"/>
      <c r="E11" s="577"/>
      <c r="F11" s="578"/>
    </row>
    <row r="12" spans="2:6" ht="19.5" customHeight="1" x14ac:dyDescent="0.35">
      <c r="B12" s="581" t="s">
        <v>102</v>
      </c>
      <c r="C12" s="581" t="s">
        <v>103</v>
      </c>
      <c r="D12" s="581" t="s">
        <v>104</v>
      </c>
      <c r="E12" s="583" t="s">
        <v>105</v>
      </c>
      <c r="F12" s="583"/>
    </row>
    <row r="13" spans="2:6" x14ac:dyDescent="0.35">
      <c r="B13" s="582"/>
      <c r="C13" s="582"/>
      <c r="D13" s="582"/>
      <c r="E13" s="165" t="s">
        <v>110</v>
      </c>
      <c r="F13" s="165" t="s">
        <v>107</v>
      </c>
    </row>
    <row r="14" spans="2:6" ht="16.5" customHeight="1" x14ac:dyDescent="0.35">
      <c r="B14" s="681" t="s">
        <v>305</v>
      </c>
      <c r="C14" s="559" t="s">
        <v>220</v>
      </c>
      <c r="D14" s="607" t="s">
        <v>65</v>
      </c>
      <c r="E14" s="133" t="s">
        <v>67</v>
      </c>
      <c r="F14" s="162">
        <v>18860</v>
      </c>
    </row>
    <row r="15" spans="2:6" x14ac:dyDescent="0.35">
      <c r="B15" s="682"/>
      <c r="C15" s="684"/>
      <c r="D15" s="557"/>
      <c r="E15" s="133" t="s">
        <v>71</v>
      </c>
      <c r="F15" s="162">
        <v>4000</v>
      </c>
    </row>
    <row r="16" spans="2:6" ht="23.5" customHeight="1" x14ac:dyDescent="0.35">
      <c r="B16" s="682"/>
      <c r="C16" s="485" t="s">
        <v>306</v>
      </c>
      <c r="D16" s="558"/>
      <c r="E16" s="131" t="s">
        <v>73</v>
      </c>
      <c r="F16" s="162">
        <v>4673</v>
      </c>
    </row>
    <row r="17" spans="2:12" x14ac:dyDescent="0.35">
      <c r="B17" s="682"/>
      <c r="C17" s="145"/>
      <c r="D17" s="145"/>
      <c r="E17" s="145" t="s">
        <v>183</v>
      </c>
      <c r="F17" s="228">
        <f>SUM(F14:F16)</f>
        <v>27533</v>
      </c>
    </row>
    <row r="18" spans="2:12" ht="15" customHeight="1" x14ac:dyDescent="0.35">
      <c r="B18" s="682"/>
      <c r="C18" s="568" t="s">
        <v>221</v>
      </c>
      <c r="D18" s="565" t="s">
        <v>2</v>
      </c>
      <c r="E18" s="143" t="s">
        <v>67</v>
      </c>
      <c r="F18" s="157">
        <v>38698</v>
      </c>
    </row>
    <row r="19" spans="2:12" x14ac:dyDescent="0.35">
      <c r="B19" s="682"/>
      <c r="C19" s="640"/>
      <c r="D19" s="566"/>
      <c r="E19" s="143" t="s">
        <v>71</v>
      </c>
      <c r="F19" s="157"/>
    </row>
    <row r="20" spans="2:12" ht="16" customHeight="1" x14ac:dyDescent="0.35">
      <c r="B20" s="682"/>
      <c r="C20" s="569"/>
      <c r="D20" s="567"/>
      <c r="E20" s="175" t="s">
        <v>73</v>
      </c>
      <c r="F20" s="157"/>
    </row>
    <row r="21" spans="2:12" ht="13.5" customHeight="1" x14ac:dyDescent="0.35">
      <c r="B21" s="682"/>
      <c r="C21" s="486"/>
      <c r="D21" s="487"/>
      <c r="E21" s="145" t="s">
        <v>183</v>
      </c>
      <c r="F21" s="228">
        <f>SUM(F18:F20)</f>
        <v>38698</v>
      </c>
    </row>
    <row r="22" spans="2:12" ht="13.5" customHeight="1" x14ac:dyDescent="0.35">
      <c r="B22" s="682"/>
      <c r="C22" s="612" t="s">
        <v>222</v>
      </c>
      <c r="D22" s="609" t="s">
        <v>66</v>
      </c>
      <c r="E22" s="115" t="s">
        <v>67</v>
      </c>
      <c r="F22" s="183">
        <v>15300</v>
      </c>
    </row>
    <row r="23" spans="2:12" ht="13.5" customHeight="1" x14ac:dyDescent="0.35">
      <c r="B23" s="682"/>
      <c r="C23" s="613"/>
      <c r="D23" s="685"/>
      <c r="E23" s="115" t="s">
        <v>71</v>
      </c>
      <c r="F23" s="183">
        <v>3000</v>
      </c>
    </row>
    <row r="24" spans="2:12" ht="13.5" customHeight="1" x14ac:dyDescent="0.35">
      <c r="B24" s="682"/>
      <c r="C24" s="614"/>
      <c r="D24" s="686"/>
      <c r="E24" s="116" t="s">
        <v>73</v>
      </c>
      <c r="F24" s="183"/>
    </row>
    <row r="25" spans="2:12" ht="13.5" customHeight="1" x14ac:dyDescent="0.35">
      <c r="B25" s="683"/>
      <c r="C25" s="145"/>
      <c r="D25" s="145"/>
      <c r="E25" s="145" t="s">
        <v>183</v>
      </c>
      <c r="F25" s="228">
        <f>SUM(F22:F24)</f>
        <v>18300</v>
      </c>
    </row>
    <row r="26" spans="2:12" ht="12" customHeight="1" x14ac:dyDescent="0.25">
      <c r="B26" s="145" t="s">
        <v>183</v>
      </c>
      <c r="C26" s="486"/>
      <c r="D26" s="488"/>
      <c r="E26" s="145"/>
      <c r="F26" s="228">
        <f>SUM(F17+F21+F25)</f>
        <v>84531</v>
      </c>
    </row>
    <row r="27" spans="2:12" ht="19.5" customHeight="1" x14ac:dyDescent="0.35">
      <c r="B27" s="554" t="s">
        <v>218</v>
      </c>
      <c r="C27" s="568" t="s">
        <v>223</v>
      </c>
      <c r="D27" s="566" t="s">
        <v>2</v>
      </c>
      <c r="E27" s="171" t="s">
        <v>67</v>
      </c>
      <c r="F27" s="178">
        <v>38698</v>
      </c>
    </row>
    <row r="28" spans="2:12" ht="22.5" customHeight="1" x14ac:dyDescent="0.35">
      <c r="B28" s="555"/>
      <c r="C28" s="569"/>
      <c r="D28" s="566"/>
      <c r="E28" s="143" t="s">
        <v>71</v>
      </c>
      <c r="F28" s="178">
        <v>17671</v>
      </c>
    </row>
    <row r="29" spans="2:12" ht="24" customHeight="1" x14ac:dyDescent="0.35">
      <c r="B29" s="555"/>
      <c r="C29" s="175" t="s">
        <v>224</v>
      </c>
      <c r="D29" s="567"/>
      <c r="E29" s="175" t="s">
        <v>73</v>
      </c>
      <c r="F29" s="178">
        <v>5000</v>
      </c>
    </row>
    <row r="30" spans="2:12" ht="14.25" customHeight="1" x14ac:dyDescent="0.25">
      <c r="B30" s="145" t="s">
        <v>183</v>
      </c>
      <c r="C30" s="145"/>
      <c r="D30" s="145"/>
      <c r="E30" s="145"/>
      <c r="F30" s="228">
        <f>SUM(F27:F29)</f>
        <v>61369</v>
      </c>
    </row>
    <row r="31" spans="2:12" ht="17.25" customHeight="1" x14ac:dyDescent="0.35">
      <c r="B31" s="612" t="s">
        <v>307</v>
      </c>
      <c r="C31" s="615" t="s">
        <v>308</v>
      </c>
      <c r="D31" s="609" t="s">
        <v>66</v>
      </c>
      <c r="E31" s="115" t="s">
        <v>67</v>
      </c>
      <c r="F31" s="183">
        <v>65000</v>
      </c>
      <c r="H31" s="468"/>
      <c r="I31" s="468"/>
      <c r="J31" s="468"/>
      <c r="K31" s="468"/>
      <c r="L31" s="468"/>
    </row>
    <row r="32" spans="2:12" ht="13.5" customHeight="1" x14ac:dyDescent="0.35">
      <c r="B32" s="613"/>
      <c r="C32" s="616"/>
      <c r="D32" s="685"/>
      <c r="E32" s="115" t="s">
        <v>71</v>
      </c>
      <c r="F32" s="183">
        <v>6000</v>
      </c>
    </row>
    <row r="33" spans="2:7" ht="16" customHeight="1" x14ac:dyDescent="0.35">
      <c r="B33" s="614"/>
      <c r="C33" s="617"/>
      <c r="D33" s="686"/>
      <c r="E33" s="116" t="s">
        <v>73</v>
      </c>
      <c r="F33" s="183">
        <v>5000</v>
      </c>
    </row>
    <row r="34" spans="2:7" x14ac:dyDescent="0.25">
      <c r="B34" s="145" t="s">
        <v>183</v>
      </c>
      <c r="C34" s="145"/>
      <c r="D34" s="145"/>
      <c r="E34" s="145"/>
      <c r="F34" s="228">
        <f>SUM(F31:F33)</f>
        <v>76000</v>
      </c>
    </row>
    <row r="35" spans="2:7" x14ac:dyDescent="0.25">
      <c r="B35" s="145" t="s">
        <v>256</v>
      </c>
      <c r="C35" s="145"/>
      <c r="D35" s="145"/>
      <c r="E35" s="145"/>
      <c r="F35" s="228">
        <f>F34+F30+F21+F17</f>
        <v>203600</v>
      </c>
    </row>
    <row r="36" spans="2:7" x14ac:dyDescent="0.25">
      <c r="B36" s="194" t="s">
        <v>79</v>
      </c>
      <c r="C36" s="187"/>
      <c r="D36" s="187"/>
      <c r="E36" s="187"/>
      <c r="F36" s="272">
        <f>F35+F10</f>
        <v>321115</v>
      </c>
      <c r="G36" s="258"/>
    </row>
    <row r="37" spans="2:7" x14ac:dyDescent="0.25">
      <c r="B37" s="191" t="s">
        <v>264</v>
      </c>
      <c r="C37" s="191"/>
      <c r="D37" s="191"/>
      <c r="E37" s="191"/>
      <c r="F37" s="231">
        <f>0.07*F36</f>
        <v>22478.050000000003</v>
      </c>
      <c r="G37" s="258"/>
    </row>
    <row r="38" spans="2:7" x14ac:dyDescent="0.25">
      <c r="B38" s="194" t="s">
        <v>77</v>
      </c>
      <c r="C38" s="187"/>
      <c r="D38" s="187"/>
      <c r="E38" s="187"/>
      <c r="F38" s="272">
        <f>SUM(F36:F37)</f>
        <v>343593.05</v>
      </c>
      <c r="G38" s="258"/>
    </row>
    <row r="40" spans="2:7" x14ac:dyDescent="0.25">
      <c r="B40" s="195" t="s">
        <v>108</v>
      </c>
      <c r="C40" s="195" t="s">
        <v>2</v>
      </c>
      <c r="D40" s="195" t="s">
        <v>65</v>
      </c>
      <c r="E40" s="195" t="s">
        <v>66</v>
      </c>
      <c r="F40" s="195" t="s">
        <v>1</v>
      </c>
    </row>
    <row r="41" spans="2:7" x14ac:dyDescent="0.25">
      <c r="B41" s="141" t="s">
        <v>67</v>
      </c>
      <c r="C41" s="197">
        <f>F27+F7+F18</f>
        <v>184911</v>
      </c>
      <c r="D41" s="198">
        <f>F14</f>
        <v>18860</v>
      </c>
      <c r="E41" s="232">
        <f>F31+F22</f>
        <v>80300</v>
      </c>
      <c r="F41" s="200">
        <f>SUM(C41:E41)</f>
        <v>284071</v>
      </c>
    </row>
    <row r="42" spans="2:7" x14ac:dyDescent="0.25">
      <c r="B42" s="141" t="s">
        <v>71</v>
      </c>
      <c r="C42" s="197">
        <f>F28+F8</f>
        <v>27671</v>
      </c>
      <c r="D42" s="198">
        <f>F15</f>
        <v>4000</v>
      </c>
      <c r="E42" s="232">
        <f>F32+F23</f>
        <v>9000</v>
      </c>
      <c r="F42" s="200">
        <f>SUM(C42:E42)</f>
        <v>40671</v>
      </c>
    </row>
    <row r="43" spans="2:7" x14ac:dyDescent="0.25">
      <c r="B43" s="142" t="s">
        <v>73</v>
      </c>
      <c r="C43" s="197">
        <f>F29+F9</f>
        <v>5000</v>
      </c>
      <c r="D43" s="198">
        <f>F16</f>
        <v>4673</v>
      </c>
      <c r="E43" s="232">
        <f>F33</f>
        <v>5000</v>
      </c>
      <c r="F43" s="200">
        <f>SUM(C43:E43)</f>
        <v>14673</v>
      </c>
    </row>
    <row r="44" spans="2:7" x14ac:dyDescent="0.25">
      <c r="B44" s="201" t="s">
        <v>79</v>
      </c>
      <c r="C44" s="202">
        <f>SUM(C41:C43)</f>
        <v>217582</v>
      </c>
      <c r="D44" s="202">
        <f>SUM(D41:D43)</f>
        <v>27533</v>
      </c>
      <c r="E44" s="202">
        <f>SUM(E41:E43)</f>
        <v>94300</v>
      </c>
      <c r="F44" s="202">
        <f>SUM(F41:F43)</f>
        <v>339415</v>
      </c>
      <c r="G44" s="260">
        <f>C59+C70</f>
        <v>339415</v>
      </c>
    </row>
    <row r="45" spans="2:7" x14ac:dyDescent="0.25">
      <c r="B45" s="191" t="s">
        <v>109</v>
      </c>
      <c r="C45" s="221">
        <f>0.07*C44</f>
        <v>15230.740000000002</v>
      </c>
      <c r="D45" s="198">
        <f>0.07*D44</f>
        <v>1927.3100000000002</v>
      </c>
      <c r="E45" s="223">
        <f>0.07*E44</f>
        <v>6601.0000000000009</v>
      </c>
      <c r="F45" s="200">
        <f>0.07*F44</f>
        <v>23759.050000000003</v>
      </c>
    </row>
    <row r="46" spans="2:7" x14ac:dyDescent="0.25">
      <c r="B46" s="210" t="s">
        <v>1</v>
      </c>
      <c r="C46" s="273">
        <f>SUM(C44:C45)</f>
        <v>232812.74</v>
      </c>
      <c r="D46" s="242">
        <f>SUM(D44:D45)</f>
        <v>29460.31</v>
      </c>
      <c r="E46" s="249">
        <f>SUM(E44:E45)</f>
        <v>100901</v>
      </c>
      <c r="F46" s="211">
        <f>SUM(F44:F45)</f>
        <v>363174.05</v>
      </c>
    </row>
    <row r="48" spans="2:7" ht="12.5" thickBot="1" x14ac:dyDescent="0.4">
      <c r="B48" s="213" t="s">
        <v>274</v>
      </c>
      <c r="C48" s="214">
        <f>'Comparativo 2019'!F8</f>
        <v>217583</v>
      </c>
      <c r="D48" s="214">
        <f>'Comparativo 2019'!G8</f>
        <v>36520</v>
      </c>
      <c r="E48" s="214">
        <f>'Comparativo 2019'!H8</f>
        <v>94300</v>
      </c>
      <c r="F48" s="214">
        <f>'Comparativo 2019'!I8</f>
        <v>348403</v>
      </c>
    </row>
    <row r="49" spans="2:6" ht="12.75" thickTop="1" x14ac:dyDescent="0.25"/>
    <row r="50" spans="2:6" x14ac:dyDescent="0.35">
      <c r="B50" s="589" t="s">
        <v>255</v>
      </c>
      <c r="C50" s="589"/>
      <c r="D50" s="589"/>
      <c r="E50" s="589"/>
      <c r="F50" s="589"/>
    </row>
    <row r="51" spans="2:6" x14ac:dyDescent="0.35">
      <c r="B51" s="216" t="s">
        <v>110</v>
      </c>
      <c r="C51" s="217" t="s">
        <v>60</v>
      </c>
      <c r="D51" s="218" t="s">
        <v>2</v>
      </c>
      <c r="E51" s="237" t="s">
        <v>65</v>
      </c>
      <c r="F51" s="218" t="s">
        <v>66</v>
      </c>
    </row>
    <row r="52" spans="2:6" x14ac:dyDescent="0.35">
      <c r="B52" s="141" t="s">
        <v>67</v>
      </c>
      <c r="C52" s="220">
        <f>D52+E52+F52</f>
        <v>107515</v>
      </c>
      <c r="D52" s="221">
        <f>F7</f>
        <v>107515</v>
      </c>
      <c r="E52" s="198"/>
      <c r="F52" s="223"/>
    </row>
    <row r="53" spans="2:6" x14ac:dyDescent="0.3">
      <c r="B53" s="261" t="s">
        <v>68</v>
      </c>
      <c r="C53" s="220">
        <f t="shared" ref="C53:C58" si="0">D53+E53+F53</f>
        <v>0</v>
      </c>
      <c r="D53" s="221"/>
      <c r="E53" s="198"/>
      <c r="F53" s="223"/>
    </row>
    <row r="54" spans="2:6" x14ac:dyDescent="0.3">
      <c r="B54" s="264" t="s">
        <v>69</v>
      </c>
      <c r="C54" s="220">
        <f t="shared" si="0"/>
        <v>0</v>
      </c>
      <c r="D54" s="221"/>
      <c r="E54" s="198"/>
      <c r="F54" s="223"/>
    </row>
    <row r="55" spans="2:6" x14ac:dyDescent="0.3">
      <c r="B55" s="261" t="s">
        <v>70</v>
      </c>
      <c r="C55" s="220">
        <f t="shared" si="0"/>
        <v>0</v>
      </c>
      <c r="D55" s="221"/>
      <c r="E55" s="198"/>
      <c r="F55" s="223"/>
    </row>
    <row r="56" spans="2:6" x14ac:dyDescent="0.35">
      <c r="B56" s="191" t="s">
        <v>71</v>
      </c>
      <c r="C56" s="220">
        <f t="shared" si="0"/>
        <v>10000</v>
      </c>
      <c r="D56" s="221">
        <f>F8</f>
        <v>10000</v>
      </c>
      <c r="E56" s="198"/>
      <c r="F56" s="223"/>
    </row>
    <row r="57" spans="2:6" x14ac:dyDescent="0.3">
      <c r="B57" s="264" t="s">
        <v>72</v>
      </c>
      <c r="C57" s="220">
        <f t="shared" si="0"/>
        <v>0</v>
      </c>
      <c r="D57" s="221"/>
      <c r="E57" s="198"/>
      <c r="F57" s="223"/>
    </row>
    <row r="58" spans="2:6" x14ac:dyDescent="0.35">
      <c r="B58" s="192" t="s">
        <v>73</v>
      </c>
      <c r="C58" s="220">
        <f t="shared" si="0"/>
        <v>0</v>
      </c>
      <c r="D58" s="221">
        <f>+F9</f>
        <v>0</v>
      </c>
      <c r="E58" s="198"/>
      <c r="F58" s="223"/>
    </row>
    <row r="59" spans="2:6" x14ac:dyDescent="0.35">
      <c r="B59" s="140" t="s">
        <v>183</v>
      </c>
      <c r="C59" s="224">
        <f>SUM(C52:C58)</f>
        <v>117515</v>
      </c>
      <c r="D59" s="224">
        <f>SUM(D52:D58)</f>
        <v>117515</v>
      </c>
      <c r="E59" s="224">
        <f>SUM(E52:E58)</f>
        <v>0</v>
      </c>
      <c r="F59" s="224">
        <f>SUM(F52:F58)</f>
        <v>0</v>
      </c>
    </row>
    <row r="61" spans="2:6" ht="27.75" customHeight="1" x14ac:dyDescent="0.35">
      <c r="B61" s="576" t="s">
        <v>143</v>
      </c>
      <c r="C61" s="577"/>
      <c r="D61" s="577"/>
      <c r="E61" s="577"/>
      <c r="F61" s="578"/>
    </row>
    <row r="62" spans="2:6" x14ac:dyDescent="0.35">
      <c r="B62" s="216" t="s">
        <v>110</v>
      </c>
      <c r="C62" s="217" t="s">
        <v>60</v>
      </c>
      <c r="D62" s="218" t="s">
        <v>2</v>
      </c>
      <c r="E62" s="237" t="s">
        <v>65</v>
      </c>
      <c r="F62" s="218" t="s">
        <v>66</v>
      </c>
    </row>
    <row r="63" spans="2:6" x14ac:dyDescent="0.35">
      <c r="B63" s="141" t="s">
        <v>67</v>
      </c>
      <c r="C63" s="220">
        <f>D63+E63+F63</f>
        <v>176556</v>
      </c>
      <c r="D63" s="221">
        <f>F27+F18</f>
        <v>77396</v>
      </c>
      <c r="E63" s="198">
        <f>F14</f>
        <v>18860</v>
      </c>
      <c r="F63" s="223">
        <f>+E41</f>
        <v>80300</v>
      </c>
    </row>
    <row r="64" spans="2:6" x14ac:dyDescent="0.3">
      <c r="B64" s="261" t="s">
        <v>68</v>
      </c>
      <c r="C64" s="220">
        <f t="shared" ref="C64:C69" si="1">D64+E64+F64</f>
        <v>0</v>
      </c>
      <c r="D64" s="221"/>
      <c r="E64" s="198"/>
      <c r="F64" s="223"/>
    </row>
    <row r="65" spans="2:6" x14ac:dyDescent="0.3">
      <c r="B65" s="264" t="s">
        <v>69</v>
      </c>
      <c r="C65" s="220">
        <f t="shared" si="1"/>
        <v>0</v>
      </c>
      <c r="D65" s="221"/>
      <c r="E65" s="198"/>
      <c r="F65" s="223"/>
    </row>
    <row r="66" spans="2:6" x14ac:dyDescent="0.3">
      <c r="B66" s="261" t="s">
        <v>70</v>
      </c>
      <c r="C66" s="220">
        <f t="shared" si="1"/>
        <v>0</v>
      </c>
      <c r="D66" s="221"/>
      <c r="E66" s="198"/>
      <c r="F66" s="223"/>
    </row>
    <row r="67" spans="2:6" x14ac:dyDescent="0.35">
      <c r="B67" s="191" t="s">
        <v>71</v>
      </c>
      <c r="C67" s="220">
        <f t="shared" si="1"/>
        <v>30671</v>
      </c>
      <c r="D67" s="221">
        <f>F28</f>
        <v>17671</v>
      </c>
      <c r="E67" s="198">
        <f>F15</f>
        <v>4000</v>
      </c>
      <c r="F67" s="223">
        <f>+E42</f>
        <v>9000</v>
      </c>
    </row>
    <row r="68" spans="2:6" x14ac:dyDescent="0.3">
      <c r="B68" s="264" t="s">
        <v>72</v>
      </c>
      <c r="C68" s="220">
        <f t="shared" si="1"/>
        <v>0</v>
      </c>
      <c r="D68" s="221"/>
      <c r="E68" s="198"/>
      <c r="F68" s="223"/>
    </row>
    <row r="69" spans="2:6" x14ac:dyDescent="0.35">
      <c r="B69" s="192" t="s">
        <v>73</v>
      </c>
      <c r="C69" s="220">
        <f t="shared" si="1"/>
        <v>14673</v>
      </c>
      <c r="D69" s="221">
        <f>F29</f>
        <v>5000</v>
      </c>
      <c r="E69" s="198">
        <f>F16</f>
        <v>4673</v>
      </c>
      <c r="F69" s="223">
        <f>+E43</f>
        <v>5000</v>
      </c>
    </row>
    <row r="70" spans="2:6" x14ac:dyDescent="0.35">
      <c r="B70" s="140" t="s">
        <v>183</v>
      </c>
      <c r="C70" s="224">
        <f>SUM(C63:C69)</f>
        <v>221900</v>
      </c>
      <c r="D70" s="224">
        <f>SUM(D63:D69)</f>
        <v>100067</v>
      </c>
      <c r="E70" s="224">
        <f>SUM(E63:E69)</f>
        <v>27533</v>
      </c>
      <c r="F70" s="224">
        <f>SUM(F63:F69)</f>
        <v>94300</v>
      </c>
    </row>
  </sheetData>
  <mergeCells count="28">
    <mergeCell ref="B61:F61"/>
    <mergeCell ref="B50:F50"/>
    <mergeCell ref="D27:D29"/>
    <mergeCell ref="D31:D33"/>
    <mergeCell ref="B27:B29"/>
    <mergeCell ref="C27:C28"/>
    <mergeCell ref="C31:C33"/>
    <mergeCell ref="B31:B33"/>
    <mergeCell ref="B4:F4"/>
    <mergeCell ref="E5:F5"/>
    <mergeCell ref="B11:F11"/>
    <mergeCell ref="B12:B13"/>
    <mergeCell ref="D12:D13"/>
    <mergeCell ref="C5:C6"/>
    <mergeCell ref="D5:D6"/>
    <mergeCell ref="B5:B6"/>
    <mergeCell ref="B7:B9"/>
    <mergeCell ref="C7:C9"/>
    <mergeCell ref="D7:D9"/>
    <mergeCell ref="C12:C13"/>
    <mergeCell ref="B14:B25"/>
    <mergeCell ref="D18:D20"/>
    <mergeCell ref="E12:F12"/>
    <mergeCell ref="C14:C15"/>
    <mergeCell ref="C18:C20"/>
    <mergeCell ref="D14:D16"/>
    <mergeCell ref="C22:C24"/>
    <mergeCell ref="D22:D24"/>
  </mergeCells>
  <pageMargins left="0.70866141732283472" right="0.70866141732283472" top="0.74803149606299213" bottom="0.74803149606299213" header="0.31496062992125984" footer="0.31496062992125984"/>
  <pageSetup paperSize="9" scale="78" orientation="landscape" horizontalDpi="300" verticalDpi="300"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71"/>
  <sheetViews>
    <sheetView showGridLines="0" zoomScaleNormal="100" workbookViewId="0">
      <selection activeCell="B4" sqref="B4:F4"/>
    </sheetView>
  </sheetViews>
  <sheetFormatPr defaultColWidth="9.1796875" defaultRowHeight="12" x14ac:dyDescent="0.35"/>
  <cols>
    <col min="1" max="1" width="1.1796875" style="207" customWidth="1"/>
    <col min="2" max="2" width="54" style="207" customWidth="1"/>
    <col min="3" max="3" width="52.26953125" style="207" customWidth="1"/>
    <col min="4" max="4" width="10.1796875" style="207" customWidth="1"/>
    <col min="5" max="5" width="29.7265625" style="207" customWidth="1"/>
    <col min="6" max="6" width="14.1796875" style="207" customWidth="1"/>
    <col min="7" max="7" width="14.7265625" style="207" customWidth="1"/>
    <col min="8" max="16384" width="9.1796875" style="207"/>
  </cols>
  <sheetData>
    <row r="3" spans="2:6" ht="24" customHeight="1" x14ac:dyDescent="0.35">
      <c r="B3" s="687" t="s">
        <v>309</v>
      </c>
      <c r="C3" s="687"/>
      <c r="D3" s="159"/>
      <c r="E3" s="159"/>
      <c r="F3" s="274"/>
    </row>
    <row r="4" spans="2:6" ht="26.25" customHeight="1" x14ac:dyDescent="0.35">
      <c r="B4" s="688" t="s">
        <v>255</v>
      </c>
      <c r="C4" s="689"/>
      <c r="D4" s="689"/>
      <c r="E4" s="689"/>
      <c r="F4" s="690"/>
    </row>
    <row r="5" spans="2:6" x14ac:dyDescent="0.35">
      <c r="B5" s="579" t="s">
        <v>102</v>
      </c>
      <c r="C5" s="579" t="s">
        <v>103</v>
      </c>
      <c r="D5" s="583" t="s">
        <v>104</v>
      </c>
      <c r="E5" s="662" t="s">
        <v>105</v>
      </c>
      <c r="F5" s="663"/>
    </row>
    <row r="6" spans="2:6" ht="15" customHeight="1" x14ac:dyDescent="0.35">
      <c r="B6" s="580"/>
      <c r="C6" s="580"/>
      <c r="D6" s="583"/>
      <c r="E6" s="165" t="s">
        <v>110</v>
      </c>
      <c r="F6" s="139" t="s">
        <v>107</v>
      </c>
    </row>
    <row r="7" spans="2:6" ht="21" customHeight="1" x14ac:dyDescent="0.35">
      <c r="B7" s="568" t="s">
        <v>310</v>
      </c>
      <c r="C7" s="568" t="s">
        <v>226</v>
      </c>
      <c r="D7" s="566" t="s">
        <v>2</v>
      </c>
      <c r="E7" s="506" t="s">
        <v>67</v>
      </c>
      <c r="F7" s="276">
        <v>89599.752443180623</v>
      </c>
    </row>
    <row r="8" spans="2:6" ht="15" customHeight="1" x14ac:dyDescent="0.35">
      <c r="B8" s="640"/>
      <c r="C8" s="640"/>
      <c r="D8" s="566"/>
      <c r="E8" s="175" t="s">
        <v>71</v>
      </c>
      <c r="F8" s="277">
        <v>14632.604345020483</v>
      </c>
    </row>
    <row r="9" spans="2:6" ht="24" x14ac:dyDescent="0.35">
      <c r="B9" s="640"/>
      <c r="C9" s="569"/>
      <c r="D9" s="566"/>
      <c r="E9" s="505" t="s">
        <v>73</v>
      </c>
      <c r="F9" s="278">
        <v>843.62072219690663</v>
      </c>
    </row>
    <row r="10" spans="2:6" x14ac:dyDescent="0.25">
      <c r="B10" s="145" t="s">
        <v>256</v>
      </c>
      <c r="C10" s="151"/>
      <c r="D10" s="294"/>
      <c r="E10" s="145"/>
      <c r="F10" s="295">
        <f>SUM(F7:F9)</f>
        <v>105075.97751039802</v>
      </c>
    </row>
    <row r="11" spans="2:6" ht="28.5" customHeight="1" x14ac:dyDescent="0.35">
      <c r="B11" s="576" t="s">
        <v>143</v>
      </c>
      <c r="C11" s="577"/>
      <c r="D11" s="577"/>
      <c r="E11" s="577"/>
      <c r="F11" s="578"/>
    </row>
    <row r="12" spans="2:6" ht="17.25" customHeight="1" x14ac:dyDescent="0.35">
      <c r="B12" s="579" t="s">
        <v>102</v>
      </c>
      <c r="C12" s="579" t="s">
        <v>103</v>
      </c>
      <c r="D12" s="583" t="s">
        <v>104</v>
      </c>
      <c r="E12" s="662" t="s">
        <v>105</v>
      </c>
      <c r="F12" s="663"/>
    </row>
    <row r="13" spans="2:6" ht="16.5" customHeight="1" x14ac:dyDescent="0.35">
      <c r="B13" s="580"/>
      <c r="C13" s="580"/>
      <c r="D13" s="583"/>
      <c r="E13" s="165" t="s">
        <v>110</v>
      </c>
      <c r="F13" s="165" t="s">
        <v>107</v>
      </c>
    </row>
    <row r="14" spans="2:6" ht="36" x14ac:dyDescent="0.35">
      <c r="B14" s="568" t="s">
        <v>311</v>
      </c>
      <c r="C14" s="119" t="s">
        <v>312</v>
      </c>
      <c r="D14" s="566" t="s">
        <v>2</v>
      </c>
      <c r="E14" s="175" t="s">
        <v>67</v>
      </c>
      <c r="F14" s="276">
        <v>62719.826710226429</v>
      </c>
    </row>
    <row r="15" spans="2:6" ht="30.75" customHeight="1" x14ac:dyDescent="0.35">
      <c r="B15" s="640"/>
      <c r="C15" s="608" t="s">
        <v>313</v>
      </c>
      <c r="D15" s="566"/>
      <c r="E15" s="175" t="s">
        <v>71</v>
      </c>
      <c r="F15" s="277">
        <v>10242.823041514337</v>
      </c>
    </row>
    <row r="16" spans="2:6" ht="24" x14ac:dyDescent="0.35">
      <c r="B16" s="640"/>
      <c r="C16" s="608"/>
      <c r="D16" s="566"/>
      <c r="E16" s="169" t="s">
        <v>73</v>
      </c>
      <c r="F16" s="277">
        <v>590.53450553783466</v>
      </c>
    </row>
    <row r="17" spans="2:7" ht="15" customHeight="1" x14ac:dyDescent="0.35">
      <c r="B17" s="145" t="s">
        <v>183</v>
      </c>
      <c r="C17" s="151"/>
      <c r="D17" s="294"/>
      <c r="E17" s="145"/>
      <c r="F17" s="295">
        <f>SUM(F14:F16)</f>
        <v>73553.184257278597</v>
      </c>
    </row>
    <row r="18" spans="2:7" ht="18" customHeight="1" x14ac:dyDescent="0.35">
      <c r="B18" s="568" t="s">
        <v>314</v>
      </c>
      <c r="C18" s="670" t="s">
        <v>227</v>
      </c>
      <c r="D18" s="566" t="s">
        <v>2</v>
      </c>
      <c r="E18" s="170" t="s">
        <v>67</v>
      </c>
      <c r="F18" s="276">
        <v>26879.925732954187</v>
      </c>
    </row>
    <row r="19" spans="2:7" ht="18" customHeight="1" x14ac:dyDescent="0.35">
      <c r="B19" s="640"/>
      <c r="C19" s="671"/>
      <c r="D19" s="566"/>
      <c r="E19" s="175" t="s">
        <v>71</v>
      </c>
      <c r="F19" s="277">
        <v>4389.7813035061445</v>
      </c>
    </row>
    <row r="20" spans="2:7" ht="24" customHeight="1" x14ac:dyDescent="0.35">
      <c r="B20" s="569"/>
      <c r="C20" s="672"/>
      <c r="D20" s="567"/>
      <c r="E20" s="175" t="s">
        <v>73</v>
      </c>
      <c r="F20" s="277">
        <v>253.08621665907199</v>
      </c>
    </row>
    <row r="21" spans="2:7" ht="15.75" customHeight="1" x14ac:dyDescent="0.35">
      <c r="B21" s="145" t="s">
        <v>183</v>
      </c>
      <c r="C21" s="151"/>
      <c r="D21" s="294"/>
      <c r="E21" s="145"/>
      <c r="F21" s="295">
        <f>SUM(F18:F20)</f>
        <v>31522.793253119402</v>
      </c>
    </row>
    <row r="22" spans="2:7" ht="24" customHeight="1" x14ac:dyDescent="0.35">
      <c r="B22" s="612" t="s">
        <v>315</v>
      </c>
      <c r="C22" s="116" t="s">
        <v>316</v>
      </c>
      <c r="D22" s="610" t="s">
        <v>66</v>
      </c>
      <c r="E22" s="116" t="s">
        <v>67</v>
      </c>
      <c r="F22" s="275">
        <v>94000</v>
      </c>
    </row>
    <row r="23" spans="2:7" ht="24.75" customHeight="1" x14ac:dyDescent="0.35">
      <c r="B23" s="613"/>
      <c r="C23" s="615" t="s">
        <v>228</v>
      </c>
      <c r="D23" s="610"/>
      <c r="E23" s="116" t="s">
        <v>71</v>
      </c>
      <c r="F23" s="275">
        <v>0</v>
      </c>
    </row>
    <row r="24" spans="2:7" ht="24" x14ac:dyDescent="0.35">
      <c r="B24" s="613"/>
      <c r="C24" s="617"/>
      <c r="D24" s="611"/>
      <c r="E24" s="116" t="s">
        <v>73</v>
      </c>
      <c r="F24" s="279">
        <v>0</v>
      </c>
    </row>
    <row r="25" spans="2:7" ht="16.5" customHeight="1" x14ac:dyDescent="0.35">
      <c r="B25" s="145" t="s">
        <v>183</v>
      </c>
      <c r="C25" s="151"/>
      <c r="D25" s="294"/>
      <c r="E25" s="145"/>
      <c r="F25" s="295">
        <f>SUM(F22:F24)</f>
        <v>94000</v>
      </c>
    </row>
    <row r="26" spans="2:7" ht="16.5" customHeight="1" x14ac:dyDescent="0.35">
      <c r="B26" s="145" t="s">
        <v>256</v>
      </c>
      <c r="C26" s="151"/>
      <c r="D26" s="294"/>
      <c r="E26" s="145"/>
      <c r="F26" s="295">
        <f>F17+F21+F25</f>
        <v>199075.97751039799</v>
      </c>
    </row>
    <row r="27" spans="2:7" x14ac:dyDescent="0.35">
      <c r="B27" s="280" t="s">
        <v>79</v>
      </c>
      <c r="C27" s="188"/>
      <c r="D27" s="188"/>
      <c r="E27" s="188"/>
      <c r="F27" s="281">
        <f>F26+F10</f>
        <v>304151.95502079604</v>
      </c>
      <c r="G27" s="282"/>
    </row>
    <row r="28" spans="2:7" x14ac:dyDescent="0.35">
      <c r="B28" s="192" t="s">
        <v>264</v>
      </c>
      <c r="C28" s="192"/>
      <c r="D28" s="192"/>
      <c r="E28" s="192"/>
      <c r="F28" s="205">
        <f>0.07*F27</f>
        <v>21290.636851455725</v>
      </c>
      <c r="G28" s="282"/>
    </row>
    <row r="29" spans="2:7" x14ac:dyDescent="0.35">
      <c r="B29" s="280" t="s">
        <v>77</v>
      </c>
      <c r="C29" s="188"/>
      <c r="D29" s="188"/>
      <c r="E29" s="188"/>
      <c r="F29" s="281">
        <f>SUM(F27:F28)</f>
        <v>325442.59187225177</v>
      </c>
      <c r="G29" s="282"/>
    </row>
    <row r="32" spans="2:7" x14ac:dyDescent="0.35">
      <c r="B32" s="195" t="s">
        <v>108</v>
      </c>
      <c r="C32" s="196" t="s">
        <v>2</v>
      </c>
      <c r="D32" s="196" t="s">
        <v>65</v>
      </c>
      <c r="E32" s="196" t="s">
        <v>66</v>
      </c>
      <c r="F32" s="196" t="s">
        <v>61</v>
      </c>
    </row>
    <row r="33" spans="2:7" x14ac:dyDescent="0.35">
      <c r="B33" s="141" t="s">
        <v>67</v>
      </c>
      <c r="C33" s="283">
        <f>F7+F14+F18</f>
        <v>179199.50488636125</v>
      </c>
      <c r="D33" s="222"/>
      <c r="E33" s="199">
        <f>F22</f>
        <v>94000</v>
      </c>
      <c r="F33" s="209">
        <f t="shared" ref="F33:F38" si="0">SUM(C33:E33)</f>
        <v>273199.50488636125</v>
      </c>
    </row>
    <row r="34" spans="2:7" x14ac:dyDescent="0.35">
      <c r="B34" s="141" t="s">
        <v>71</v>
      </c>
      <c r="C34" s="283">
        <f>F8+F15+F19</f>
        <v>29265.208690040967</v>
      </c>
      <c r="D34" s="222"/>
      <c r="E34" s="199">
        <f>F23</f>
        <v>0</v>
      </c>
      <c r="F34" s="209">
        <f t="shared" si="0"/>
        <v>29265.208690040967</v>
      </c>
    </row>
    <row r="35" spans="2:7" x14ac:dyDescent="0.35">
      <c r="B35" s="142" t="s">
        <v>73</v>
      </c>
      <c r="C35" s="283">
        <f>F9+F16+F20</f>
        <v>1687.2414443938135</v>
      </c>
      <c r="D35" s="222"/>
      <c r="E35" s="199">
        <f>F24</f>
        <v>0</v>
      </c>
      <c r="F35" s="209">
        <f t="shared" si="0"/>
        <v>1687.2414443938135</v>
      </c>
    </row>
    <row r="36" spans="2:7" x14ac:dyDescent="0.35">
      <c r="B36" s="201" t="s">
        <v>79</v>
      </c>
      <c r="C36" s="203">
        <f>SUM(C33:C35)</f>
        <v>210151.95502079604</v>
      </c>
      <c r="D36" s="203"/>
      <c r="E36" s="203">
        <f>SUM(E33:E35)</f>
        <v>94000</v>
      </c>
      <c r="F36" s="203">
        <f t="shared" si="0"/>
        <v>304151.95502079604</v>
      </c>
      <c r="G36" s="284">
        <f>C60+C71</f>
        <v>304151.95502079604</v>
      </c>
    </row>
    <row r="37" spans="2:7" x14ac:dyDescent="0.35">
      <c r="B37" s="191" t="s">
        <v>109</v>
      </c>
      <c r="C37" s="285">
        <f>0.07*C36</f>
        <v>14710.636851455723</v>
      </c>
      <c r="D37" s="222"/>
      <c r="E37" s="241">
        <f>0.07*E36</f>
        <v>6580.0000000000009</v>
      </c>
      <c r="F37" s="209">
        <f t="shared" si="0"/>
        <v>21290.636851455725</v>
      </c>
    </row>
    <row r="38" spans="2:7" x14ac:dyDescent="0.35">
      <c r="B38" s="286" t="s">
        <v>1</v>
      </c>
      <c r="C38" s="287">
        <f>SUM(C36:C37)</f>
        <v>224862.59187225177</v>
      </c>
      <c r="D38" s="288">
        <f>SUM(D36:D37)</f>
        <v>0</v>
      </c>
      <c r="E38" s="243">
        <f>SUM(E36:E37)</f>
        <v>100580</v>
      </c>
      <c r="F38" s="212">
        <f t="shared" si="0"/>
        <v>325442.59187225177</v>
      </c>
    </row>
    <row r="39" spans="2:7" ht="13.5" customHeight="1" x14ac:dyDescent="0.35"/>
    <row r="40" spans="2:7" hidden="1" x14ac:dyDescent="0.35">
      <c r="B40" s="289" t="s">
        <v>58</v>
      </c>
    </row>
    <row r="41" spans="2:7" hidden="1" x14ac:dyDescent="0.35">
      <c r="B41" s="196" t="s">
        <v>56</v>
      </c>
      <c r="C41" s="196" t="s">
        <v>2</v>
      </c>
      <c r="D41" s="196" t="s">
        <v>66</v>
      </c>
      <c r="E41" s="196" t="s">
        <v>1</v>
      </c>
    </row>
    <row r="42" spans="2:7" hidden="1" x14ac:dyDescent="0.35">
      <c r="B42" s="142" t="s">
        <v>32</v>
      </c>
      <c r="C42" s="209">
        <f>F14+F18</f>
        <v>89599.752443180623</v>
      </c>
      <c r="D42" s="209">
        <f>D33</f>
        <v>0</v>
      </c>
      <c r="E42" s="209">
        <f>SUM(C42:D42)</f>
        <v>89599.752443180623</v>
      </c>
    </row>
    <row r="43" spans="2:7" hidden="1" x14ac:dyDescent="0.35">
      <c r="B43" s="142" t="s">
        <v>36</v>
      </c>
      <c r="C43" s="209">
        <f>F15+F19</f>
        <v>14632.604345020482</v>
      </c>
      <c r="D43" s="209">
        <f>D34</f>
        <v>0</v>
      </c>
      <c r="E43" s="209">
        <f>SUM(C43:D43)</f>
        <v>14632.604345020482</v>
      </c>
    </row>
    <row r="44" spans="2:7" hidden="1" x14ac:dyDescent="0.35">
      <c r="B44" s="142" t="s">
        <v>37</v>
      </c>
      <c r="C44" s="209">
        <f>F16+F20</f>
        <v>843.62072219690663</v>
      </c>
      <c r="D44" s="209">
        <f>D35</f>
        <v>0</v>
      </c>
      <c r="E44" s="209">
        <f>SUM(C44:D44)</f>
        <v>843.62072219690663</v>
      </c>
    </row>
    <row r="45" spans="2:7" hidden="1" x14ac:dyDescent="0.35">
      <c r="B45" s="192" t="s">
        <v>26</v>
      </c>
      <c r="C45" s="209">
        <f>SUM(C42:C44)</f>
        <v>105075.97751039802</v>
      </c>
      <c r="D45" s="209">
        <f>SUM(D42:D44)</f>
        <v>0</v>
      </c>
      <c r="E45" s="209">
        <f>SUM(E42:E44)</f>
        <v>105075.97751039802</v>
      </c>
    </row>
    <row r="46" spans="2:7" hidden="1" x14ac:dyDescent="0.35">
      <c r="B46" s="192" t="s">
        <v>57</v>
      </c>
      <c r="C46" s="290">
        <f>0.07*C45</f>
        <v>7355.3184257278617</v>
      </c>
      <c r="D46" s="205">
        <f>0.07*D45</f>
        <v>0</v>
      </c>
      <c r="E46" s="205">
        <f>0.07*E45</f>
        <v>7355.3184257278617</v>
      </c>
    </row>
    <row r="47" spans="2:7" hidden="1" x14ac:dyDescent="0.35">
      <c r="B47" s="196" t="s">
        <v>1</v>
      </c>
      <c r="C47" s="291">
        <f>SUM(C45:C46)</f>
        <v>112431.29593612588</v>
      </c>
      <c r="D47" s="291">
        <f>SUM(D45:D46)</f>
        <v>0</v>
      </c>
      <c r="E47" s="291">
        <f>SUM(E45:E46)</f>
        <v>112431.29593612588</v>
      </c>
    </row>
    <row r="49" spans="2:6" ht="12.5" thickBot="1" x14ac:dyDescent="0.4">
      <c r="B49" s="213" t="s">
        <v>274</v>
      </c>
      <c r="C49" s="213">
        <f>'Comparativo 2019'!F18</f>
        <v>210151</v>
      </c>
      <c r="D49" s="213">
        <f>'Comparativo 2019'!G18</f>
        <v>0</v>
      </c>
      <c r="E49" s="213">
        <f>'Comparativo 2019'!H18</f>
        <v>94000</v>
      </c>
      <c r="F49" s="213">
        <f>'Comparativo 2019'!I18</f>
        <v>304151</v>
      </c>
    </row>
    <row r="50" spans="2:6" ht="12.5" thickTop="1" x14ac:dyDescent="0.35"/>
    <row r="51" spans="2:6" x14ac:dyDescent="0.35">
      <c r="B51" s="576" t="s">
        <v>255</v>
      </c>
      <c r="C51" s="577"/>
      <c r="D51" s="577"/>
      <c r="E51" s="577"/>
      <c r="F51" s="578"/>
    </row>
    <row r="52" spans="2:6" x14ac:dyDescent="0.35">
      <c r="B52" s="216" t="s">
        <v>110</v>
      </c>
      <c r="C52" s="217" t="s">
        <v>60</v>
      </c>
      <c r="D52" s="292" t="s">
        <v>2</v>
      </c>
      <c r="E52" s="219" t="s">
        <v>65</v>
      </c>
      <c r="F52" s="292" t="s">
        <v>66</v>
      </c>
    </row>
    <row r="53" spans="2:6" x14ac:dyDescent="0.35">
      <c r="B53" s="141" t="s">
        <v>67</v>
      </c>
      <c r="C53" s="293">
        <f>D53+E53+F53</f>
        <v>89599.752443180623</v>
      </c>
      <c r="D53" s="283">
        <f>F7</f>
        <v>89599.752443180623</v>
      </c>
      <c r="E53" s="222"/>
      <c r="F53" s="199"/>
    </row>
    <row r="54" spans="2:6" x14ac:dyDescent="0.3">
      <c r="B54" s="261" t="s">
        <v>68</v>
      </c>
      <c r="C54" s="293">
        <f t="shared" ref="C54:C59" si="1">D54+E54+F54</f>
        <v>0</v>
      </c>
      <c r="D54" s="283"/>
      <c r="E54" s="222"/>
      <c r="F54" s="199"/>
    </row>
    <row r="55" spans="2:6" x14ac:dyDescent="0.3">
      <c r="B55" s="264" t="s">
        <v>69</v>
      </c>
      <c r="C55" s="293">
        <f t="shared" si="1"/>
        <v>0</v>
      </c>
      <c r="D55" s="283"/>
      <c r="E55" s="222"/>
      <c r="F55" s="199"/>
    </row>
    <row r="56" spans="2:6" x14ac:dyDescent="0.3">
      <c r="B56" s="261" t="s">
        <v>70</v>
      </c>
      <c r="C56" s="293">
        <f t="shared" si="1"/>
        <v>0</v>
      </c>
      <c r="D56" s="283"/>
      <c r="E56" s="222"/>
      <c r="F56" s="199"/>
    </row>
    <row r="57" spans="2:6" x14ac:dyDescent="0.35">
      <c r="B57" s="191" t="s">
        <v>71</v>
      </c>
      <c r="C57" s="293">
        <f t="shared" si="1"/>
        <v>14632.604345020483</v>
      </c>
      <c r="D57" s="283">
        <f>F8</f>
        <v>14632.604345020483</v>
      </c>
      <c r="E57" s="222"/>
      <c r="F57" s="199"/>
    </row>
    <row r="58" spans="2:6" x14ac:dyDescent="0.3">
      <c r="B58" s="264" t="s">
        <v>72</v>
      </c>
      <c r="C58" s="293">
        <f t="shared" si="1"/>
        <v>0</v>
      </c>
      <c r="D58" s="283"/>
      <c r="E58" s="222"/>
      <c r="F58" s="199"/>
    </row>
    <row r="59" spans="2:6" x14ac:dyDescent="0.35">
      <c r="B59" s="192" t="s">
        <v>73</v>
      </c>
      <c r="C59" s="293">
        <f t="shared" si="1"/>
        <v>843.62072219690663</v>
      </c>
      <c r="D59" s="283">
        <f>F9</f>
        <v>843.62072219690663</v>
      </c>
      <c r="E59" s="222"/>
      <c r="F59" s="199"/>
    </row>
    <row r="60" spans="2:6" x14ac:dyDescent="0.35">
      <c r="B60" s="140" t="s">
        <v>183</v>
      </c>
      <c r="C60" s="225">
        <f>SUM(C53:C59)</f>
        <v>105075.97751039802</v>
      </c>
      <c r="D60" s="225">
        <f>SUM(D53:D59)</f>
        <v>105075.97751039802</v>
      </c>
      <c r="E60" s="225">
        <f>SUM(E53:E59)</f>
        <v>0</v>
      </c>
      <c r="F60" s="225">
        <f>SUM(F53:F59)</f>
        <v>0</v>
      </c>
    </row>
    <row r="62" spans="2:6" ht="23.25" customHeight="1" x14ac:dyDescent="0.35">
      <c r="B62" s="576" t="s">
        <v>143</v>
      </c>
      <c r="C62" s="577"/>
      <c r="D62" s="577"/>
      <c r="E62" s="577"/>
      <c r="F62" s="578"/>
    </row>
    <row r="63" spans="2:6" x14ac:dyDescent="0.35">
      <c r="B63" s="216" t="s">
        <v>110</v>
      </c>
      <c r="C63" s="217" t="s">
        <v>60</v>
      </c>
      <c r="D63" s="292" t="s">
        <v>2</v>
      </c>
      <c r="E63" s="219" t="s">
        <v>65</v>
      </c>
      <c r="F63" s="292" t="s">
        <v>66</v>
      </c>
    </row>
    <row r="64" spans="2:6" x14ac:dyDescent="0.35">
      <c r="B64" s="141" t="s">
        <v>67</v>
      </c>
      <c r="C64" s="293">
        <f>D64+E64+F64</f>
        <v>183599.75244318062</v>
      </c>
      <c r="D64" s="283">
        <f>F14+F18</f>
        <v>89599.752443180623</v>
      </c>
      <c r="E64" s="222"/>
      <c r="F64" s="199">
        <f>E33</f>
        <v>94000</v>
      </c>
    </row>
    <row r="65" spans="2:6" x14ac:dyDescent="0.3">
      <c r="B65" s="261" t="s">
        <v>68</v>
      </c>
      <c r="C65" s="293">
        <f t="shared" ref="C65:C70" si="2">D65+E65+F65</f>
        <v>0</v>
      </c>
      <c r="D65" s="283"/>
      <c r="E65" s="222"/>
      <c r="F65" s="199"/>
    </row>
    <row r="66" spans="2:6" x14ac:dyDescent="0.3">
      <c r="B66" s="264" t="s">
        <v>69</v>
      </c>
      <c r="C66" s="293">
        <f t="shared" si="2"/>
        <v>0</v>
      </c>
      <c r="D66" s="283"/>
      <c r="E66" s="222"/>
      <c r="F66" s="199"/>
    </row>
    <row r="67" spans="2:6" x14ac:dyDescent="0.3">
      <c r="B67" s="261" t="s">
        <v>70</v>
      </c>
      <c r="C67" s="293">
        <f t="shared" si="2"/>
        <v>0</v>
      </c>
      <c r="D67" s="283"/>
      <c r="E67" s="222"/>
      <c r="F67" s="199"/>
    </row>
    <row r="68" spans="2:6" x14ac:dyDescent="0.35">
      <c r="B68" s="191" t="s">
        <v>71</v>
      </c>
      <c r="C68" s="293">
        <f t="shared" si="2"/>
        <v>14632.604345020482</v>
      </c>
      <c r="D68" s="283">
        <f>F15+F19</f>
        <v>14632.604345020482</v>
      </c>
      <c r="E68" s="222"/>
      <c r="F68" s="199"/>
    </row>
    <row r="69" spans="2:6" x14ac:dyDescent="0.3">
      <c r="B69" s="264" t="s">
        <v>72</v>
      </c>
      <c r="C69" s="293">
        <f t="shared" si="2"/>
        <v>0</v>
      </c>
      <c r="D69" s="283"/>
      <c r="E69" s="222"/>
      <c r="F69" s="199"/>
    </row>
    <row r="70" spans="2:6" x14ac:dyDescent="0.35">
      <c r="B70" s="192" t="s">
        <v>73</v>
      </c>
      <c r="C70" s="293">
        <f t="shared" si="2"/>
        <v>843.62072219690663</v>
      </c>
      <c r="D70" s="283">
        <f>F16+F20</f>
        <v>843.62072219690663</v>
      </c>
      <c r="E70" s="222"/>
      <c r="F70" s="199"/>
    </row>
    <row r="71" spans="2:6" x14ac:dyDescent="0.35">
      <c r="B71" s="140" t="s">
        <v>183</v>
      </c>
      <c r="C71" s="225">
        <f>SUM(C64:C70)</f>
        <v>199075.97751039802</v>
      </c>
      <c r="D71" s="225">
        <f>SUM(D64:D70)</f>
        <v>105075.97751039802</v>
      </c>
      <c r="E71" s="225">
        <f>SUM(E64:E70)</f>
        <v>0</v>
      </c>
      <c r="F71" s="225">
        <f>SUM(F64:F70)</f>
        <v>94000</v>
      </c>
    </row>
  </sheetData>
  <mergeCells count="25">
    <mergeCell ref="B3:C3"/>
    <mergeCell ref="B4:F4"/>
    <mergeCell ref="E5:F5"/>
    <mergeCell ref="B5:B6"/>
    <mergeCell ref="D5:D6"/>
    <mergeCell ref="C5:C6"/>
    <mergeCell ref="B62:F62"/>
    <mergeCell ref="B51:F51"/>
    <mergeCell ref="C12:C13"/>
    <mergeCell ref="C18:C20"/>
    <mergeCell ref="D22:D24"/>
    <mergeCell ref="B14:B16"/>
    <mergeCell ref="B12:B13"/>
    <mergeCell ref="D12:D13"/>
    <mergeCell ref="B18:B20"/>
    <mergeCell ref="C23:C24"/>
    <mergeCell ref="B22:B24"/>
    <mergeCell ref="D18:D20"/>
    <mergeCell ref="C7:C9"/>
    <mergeCell ref="E12:F12"/>
    <mergeCell ref="D14:D16"/>
    <mergeCell ref="C15:C16"/>
    <mergeCell ref="B11:F11"/>
    <mergeCell ref="B7:B9"/>
    <mergeCell ref="D7:D9"/>
  </mergeCells>
  <pageMargins left="0.70866141732283472" right="0.70866141732283472" top="0.74803149606299213" bottom="0.74803149606299213" header="0.31496062992125984" footer="0.31496062992125984"/>
  <pageSetup paperSize="9" scale="8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49"/>
  <sheetViews>
    <sheetView showGridLines="0" zoomScaleNormal="100" workbookViewId="0">
      <selection activeCell="B3" sqref="B3:C3"/>
    </sheetView>
  </sheetViews>
  <sheetFormatPr defaultColWidth="9.1796875" defaultRowHeight="12" x14ac:dyDescent="0.3"/>
  <cols>
    <col min="1" max="1" width="0.81640625" style="177" customWidth="1"/>
    <col min="2" max="2" width="45.26953125" style="206" customWidth="1"/>
    <col min="3" max="3" width="50.54296875" style="206" customWidth="1"/>
    <col min="4" max="4" width="10.54296875" style="206" customWidth="1"/>
    <col min="5" max="5" width="26.81640625" style="206" customWidth="1"/>
    <col min="6" max="6" width="14.1796875" style="206" customWidth="1"/>
    <col min="7" max="7" width="17.1796875" style="177" customWidth="1"/>
    <col min="8" max="16384" width="9.1796875" style="177"/>
  </cols>
  <sheetData>
    <row r="3" spans="2:7" x14ac:dyDescent="0.3">
      <c r="B3" s="687" t="s">
        <v>229</v>
      </c>
      <c r="C3" s="687"/>
      <c r="D3" s="137"/>
      <c r="E3" s="137"/>
      <c r="F3" s="138"/>
    </row>
    <row r="4" spans="2:7" ht="28.5" customHeight="1" x14ac:dyDescent="0.3">
      <c r="B4" s="576" t="s">
        <v>143</v>
      </c>
      <c r="C4" s="577"/>
      <c r="D4" s="577"/>
      <c r="E4" s="577"/>
      <c r="F4" s="578"/>
    </row>
    <row r="5" spans="2:7" ht="17.25" customHeight="1" x14ac:dyDescent="0.3">
      <c r="B5" s="579" t="s">
        <v>102</v>
      </c>
      <c r="C5" s="581" t="s">
        <v>103</v>
      </c>
      <c r="D5" s="583" t="s">
        <v>104</v>
      </c>
      <c r="E5" s="662" t="s">
        <v>105</v>
      </c>
      <c r="F5" s="663"/>
    </row>
    <row r="6" spans="2:7" ht="16.5" customHeight="1" x14ac:dyDescent="0.3">
      <c r="B6" s="580"/>
      <c r="C6" s="582"/>
      <c r="D6" s="583"/>
      <c r="E6" s="165" t="s">
        <v>110</v>
      </c>
      <c r="F6" s="139" t="s">
        <v>107</v>
      </c>
    </row>
    <row r="7" spans="2:7" ht="36" x14ac:dyDescent="0.3">
      <c r="B7" s="615" t="s">
        <v>317</v>
      </c>
      <c r="C7" s="116" t="s">
        <v>230</v>
      </c>
      <c r="D7" s="609" t="s">
        <v>66</v>
      </c>
      <c r="E7" s="115" t="s">
        <v>67</v>
      </c>
      <c r="F7" s="183">
        <v>170000</v>
      </c>
    </row>
    <row r="8" spans="2:7" ht="21" customHeight="1" x14ac:dyDescent="0.3">
      <c r="B8" s="616"/>
      <c r="C8" s="615" t="s">
        <v>318</v>
      </c>
      <c r="D8" s="610"/>
      <c r="E8" s="115" t="s">
        <v>71</v>
      </c>
      <c r="F8" s="183">
        <v>30000</v>
      </c>
    </row>
    <row r="9" spans="2:7" ht="24" x14ac:dyDescent="0.3">
      <c r="B9" s="617"/>
      <c r="C9" s="617"/>
      <c r="D9" s="611"/>
      <c r="E9" s="116" t="s">
        <v>73</v>
      </c>
      <c r="F9" s="183">
        <v>0</v>
      </c>
    </row>
    <row r="10" spans="2:7" x14ac:dyDescent="0.2">
      <c r="B10" s="145" t="s">
        <v>183</v>
      </c>
      <c r="C10" s="151"/>
      <c r="D10" s="294"/>
      <c r="E10" s="145"/>
      <c r="F10" s="295">
        <f>SUM(F7:F9)</f>
        <v>200000</v>
      </c>
    </row>
    <row r="11" spans="2:7" ht="36" x14ac:dyDescent="0.3">
      <c r="B11" s="612" t="s">
        <v>319</v>
      </c>
      <c r="C11" s="116" t="s">
        <v>320</v>
      </c>
      <c r="D11" s="609" t="s">
        <v>66</v>
      </c>
      <c r="E11" s="115" t="s">
        <v>67</v>
      </c>
      <c r="F11" s="150">
        <v>230000</v>
      </c>
    </row>
    <row r="12" spans="2:7" ht="36" x14ac:dyDescent="0.3">
      <c r="B12" s="613"/>
      <c r="C12" s="116" t="s">
        <v>231</v>
      </c>
      <c r="D12" s="610"/>
      <c r="E12" s="115" t="s">
        <v>71</v>
      </c>
      <c r="F12" s="150">
        <v>37000</v>
      </c>
    </row>
    <row r="13" spans="2:7" ht="24" x14ac:dyDescent="0.3">
      <c r="B13" s="614"/>
      <c r="C13" s="116" t="s">
        <v>232</v>
      </c>
      <c r="D13" s="611"/>
      <c r="E13" s="116" t="s">
        <v>73</v>
      </c>
      <c r="F13" s="183">
        <v>0</v>
      </c>
    </row>
    <row r="14" spans="2:7" x14ac:dyDescent="0.2">
      <c r="B14" s="145" t="s">
        <v>183</v>
      </c>
      <c r="C14" s="151"/>
      <c r="D14" s="294"/>
      <c r="E14" s="145"/>
      <c r="F14" s="295">
        <f>SUM(F11:F13)</f>
        <v>267000</v>
      </c>
    </row>
    <row r="15" spans="2:7" x14ac:dyDescent="0.2">
      <c r="B15" s="194" t="s">
        <v>79</v>
      </c>
      <c r="C15" s="187"/>
      <c r="D15" s="187"/>
      <c r="E15" s="187"/>
      <c r="F15" s="189">
        <f>F14+F10</f>
        <v>467000</v>
      </c>
      <c r="G15" s="190">
        <v>467000</v>
      </c>
    </row>
    <row r="16" spans="2:7" x14ac:dyDescent="0.2">
      <c r="B16" s="191" t="s">
        <v>264</v>
      </c>
      <c r="C16" s="191"/>
      <c r="D16" s="191"/>
      <c r="E16" s="191"/>
      <c r="F16" s="193">
        <f>0.07*F15</f>
        <v>32690.000000000004</v>
      </c>
      <c r="G16" s="190"/>
    </row>
    <row r="17" spans="2:7" x14ac:dyDescent="0.2">
      <c r="B17" s="194" t="s">
        <v>77</v>
      </c>
      <c r="C17" s="187"/>
      <c r="D17" s="187"/>
      <c r="E17" s="187"/>
      <c r="F17" s="189">
        <f>SUM(F15:F16)</f>
        <v>499690</v>
      </c>
      <c r="G17" s="190"/>
    </row>
    <row r="20" spans="2:7" x14ac:dyDescent="0.3">
      <c r="B20" s="195" t="s">
        <v>108</v>
      </c>
      <c r="C20" s="298" t="s">
        <v>2</v>
      </c>
      <c r="D20" s="298" t="s">
        <v>65</v>
      </c>
      <c r="E20" s="298" t="s">
        <v>66</v>
      </c>
      <c r="F20" s="298" t="s">
        <v>61</v>
      </c>
    </row>
    <row r="21" spans="2:7" x14ac:dyDescent="0.3">
      <c r="B21" s="141" t="s">
        <v>67</v>
      </c>
      <c r="C21" s="197"/>
      <c r="D21" s="198"/>
      <c r="E21" s="232">
        <f>F7+F11</f>
        <v>400000</v>
      </c>
      <c r="F21" s="200">
        <f t="shared" ref="F21:F26" si="0">SUM(C21:E21)</f>
        <v>400000</v>
      </c>
    </row>
    <row r="22" spans="2:7" x14ac:dyDescent="0.3">
      <c r="B22" s="141" t="s">
        <v>71</v>
      </c>
      <c r="C22" s="197"/>
      <c r="D22" s="198"/>
      <c r="E22" s="232">
        <f>F8+F12</f>
        <v>67000</v>
      </c>
      <c r="F22" s="200">
        <f t="shared" si="0"/>
        <v>67000</v>
      </c>
    </row>
    <row r="23" spans="2:7" x14ac:dyDescent="0.3">
      <c r="B23" s="142" t="s">
        <v>73</v>
      </c>
      <c r="C23" s="197"/>
      <c r="D23" s="198"/>
      <c r="E23" s="232">
        <f>F9+F13</f>
        <v>0</v>
      </c>
      <c r="F23" s="200">
        <f t="shared" si="0"/>
        <v>0</v>
      </c>
    </row>
    <row r="24" spans="2:7" x14ac:dyDescent="0.3">
      <c r="B24" s="201" t="s">
        <v>79</v>
      </c>
      <c r="C24" s="202"/>
      <c r="D24" s="233"/>
      <c r="E24" s="202">
        <f>SUM(E21:E23)</f>
        <v>467000</v>
      </c>
      <c r="F24" s="469">
        <f t="shared" si="0"/>
        <v>467000</v>
      </c>
      <c r="G24" s="248">
        <f>C38+C49</f>
        <v>467000</v>
      </c>
    </row>
    <row r="25" spans="2:7" x14ac:dyDescent="0.3">
      <c r="B25" s="191" t="s">
        <v>109</v>
      </c>
      <c r="C25" s="267"/>
      <c r="D25" s="268"/>
      <c r="E25" s="223">
        <f>0.07*E24</f>
        <v>32690.000000000004</v>
      </c>
      <c r="F25" s="200">
        <f t="shared" si="0"/>
        <v>32690.000000000004</v>
      </c>
    </row>
    <row r="26" spans="2:7" x14ac:dyDescent="0.3">
      <c r="B26" s="286" t="s">
        <v>1</v>
      </c>
      <c r="C26" s="273"/>
      <c r="D26" s="455"/>
      <c r="E26" s="470">
        <f>E25+E24</f>
        <v>499690</v>
      </c>
      <c r="F26" s="211">
        <f t="shared" si="0"/>
        <v>499690</v>
      </c>
    </row>
    <row r="27" spans="2:7" ht="30.75" customHeight="1" thickBot="1" x14ac:dyDescent="0.35">
      <c r="B27" s="213" t="s">
        <v>274</v>
      </c>
      <c r="C27" s="471">
        <f>'Comparativo 2019'!F19</f>
        <v>0</v>
      </c>
      <c r="D27" s="471">
        <f>'Comparativo 2019'!G19</f>
        <v>0</v>
      </c>
      <c r="E27" s="471">
        <f>'Comparativo 2019'!H19</f>
        <v>467000</v>
      </c>
      <c r="F27" s="471">
        <f>'Comparativo 2019'!I19</f>
        <v>467000</v>
      </c>
    </row>
    <row r="28" spans="2:7" ht="12.5" thickTop="1" x14ac:dyDescent="0.3"/>
    <row r="29" spans="2:7" ht="12" customHeight="1" x14ac:dyDescent="0.3">
      <c r="B29" s="688" t="s">
        <v>255</v>
      </c>
      <c r="C29" s="689"/>
      <c r="D29" s="689"/>
      <c r="E29" s="689"/>
      <c r="F29" s="690"/>
    </row>
    <row r="30" spans="2:7" x14ac:dyDescent="0.3">
      <c r="B30" s="216" t="s">
        <v>110</v>
      </c>
      <c r="C30" s="217" t="s">
        <v>60</v>
      </c>
      <c r="D30" s="218" t="s">
        <v>2</v>
      </c>
      <c r="E30" s="237" t="s">
        <v>65</v>
      </c>
      <c r="F30" s="218" t="s">
        <v>66</v>
      </c>
    </row>
    <row r="31" spans="2:7" x14ac:dyDescent="0.3">
      <c r="B31" s="141" t="s">
        <v>67</v>
      </c>
      <c r="C31" s="220">
        <f>D31+E31+F31</f>
        <v>400000</v>
      </c>
      <c r="D31" s="267"/>
      <c r="E31" s="268"/>
      <c r="F31" s="223">
        <f>E21</f>
        <v>400000</v>
      </c>
    </row>
    <row r="32" spans="2:7" x14ac:dyDescent="0.3">
      <c r="B32" s="261" t="s">
        <v>68</v>
      </c>
      <c r="C32" s="220">
        <f t="shared" ref="C32:C37" si="1">D32+E32+F32</f>
        <v>0</v>
      </c>
      <c r="D32" s="267"/>
      <c r="E32" s="268"/>
      <c r="F32" s="223"/>
    </row>
    <row r="33" spans="2:6" x14ac:dyDescent="0.3">
      <c r="B33" s="264" t="s">
        <v>69</v>
      </c>
      <c r="C33" s="220">
        <f t="shared" si="1"/>
        <v>0</v>
      </c>
      <c r="D33" s="267"/>
      <c r="E33" s="268"/>
      <c r="F33" s="223"/>
    </row>
    <row r="34" spans="2:6" x14ac:dyDescent="0.3">
      <c r="B34" s="261" t="s">
        <v>70</v>
      </c>
      <c r="C34" s="220">
        <f t="shared" si="1"/>
        <v>0</v>
      </c>
      <c r="D34" s="267"/>
      <c r="E34" s="268"/>
      <c r="F34" s="223"/>
    </row>
    <row r="35" spans="2:6" x14ac:dyDescent="0.3">
      <c r="B35" s="191" t="s">
        <v>71</v>
      </c>
      <c r="C35" s="220">
        <f t="shared" si="1"/>
        <v>67000</v>
      </c>
      <c r="D35" s="267"/>
      <c r="E35" s="268"/>
      <c r="F35" s="223">
        <f>E22</f>
        <v>67000</v>
      </c>
    </row>
    <row r="36" spans="2:6" x14ac:dyDescent="0.3">
      <c r="B36" s="264" t="s">
        <v>72</v>
      </c>
      <c r="C36" s="220">
        <f t="shared" si="1"/>
        <v>0</v>
      </c>
      <c r="D36" s="267"/>
      <c r="E36" s="268"/>
      <c r="F36" s="223"/>
    </row>
    <row r="37" spans="2:6" x14ac:dyDescent="0.3">
      <c r="B37" s="192" t="s">
        <v>73</v>
      </c>
      <c r="C37" s="220">
        <f t="shared" si="1"/>
        <v>0</v>
      </c>
      <c r="D37" s="267"/>
      <c r="E37" s="268"/>
      <c r="F37" s="223"/>
    </row>
    <row r="38" spans="2:6" x14ac:dyDescent="0.3">
      <c r="B38" s="140" t="s">
        <v>183</v>
      </c>
      <c r="C38" s="224">
        <f>SUM(C31:C37)</f>
        <v>467000</v>
      </c>
      <c r="D38" s="224">
        <f>SUM(D31:D37)</f>
        <v>0</v>
      </c>
      <c r="E38" s="224">
        <f>SUM(E31:E37)</f>
        <v>0</v>
      </c>
      <c r="F38" s="224">
        <f>SUM(F31:F37)</f>
        <v>467000</v>
      </c>
    </row>
    <row r="39" spans="2:6" ht="16.5" customHeight="1" x14ac:dyDescent="0.3"/>
    <row r="40" spans="2:6" ht="31.5" customHeight="1" x14ac:dyDescent="0.3">
      <c r="B40" s="576" t="s">
        <v>143</v>
      </c>
      <c r="C40" s="577"/>
      <c r="D40" s="577"/>
      <c r="E40" s="577"/>
      <c r="F40" s="578"/>
    </row>
    <row r="41" spans="2:6" x14ac:dyDescent="0.3">
      <c r="B41" s="216" t="s">
        <v>110</v>
      </c>
      <c r="C41" s="217" t="s">
        <v>60</v>
      </c>
      <c r="D41" s="218" t="s">
        <v>2</v>
      </c>
      <c r="E41" s="237" t="s">
        <v>65</v>
      </c>
      <c r="F41" s="218" t="s">
        <v>66</v>
      </c>
    </row>
    <row r="42" spans="2:6" x14ac:dyDescent="0.3">
      <c r="B42" s="141" t="s">
        <v>67</v>
      </c>
      <c r="C42" s="220">
        <f>D42+E42+F42</f>
        <v>0</v>
      </c>
      <c r="D42" s="267"/>
      <c r="E42" s="268"/>
      <c r="F42" s="223"/>
    </row>
    <row r="43" spans="2:6" x14ac:dyDescent="0.3">
      <c r="B43" s="261" t="s">
        <v>68</v>
      </c>
      <c r="C43" s="220">
        <f t="shared" ref="C43:C48" si="2">D43+E43+F43</f>
        <v>0</v>
      </c>
      <c r="D43" s="267"/>
      <c r="E43" s="268"/>
      <c r="F43" s="223"/>
    </row>
    <row r="44" spans="2:6" x14ac:dyDescent="0.3">
      <c r="B44" s="264" t="s">
        <v>69</v>
      </c>
      <c r="C44" s="220">
        <f t="shared" si="2"/>
        <v>0</v>
      </c>
      <c r="D44" s="267"/>
      <c r="E44" s="268"/>
      <c r="F44" s="223"/>
    </row>
    <row r="45" spans="2:6" x14ac:dyDescent="0.3">
      <c r="B45" s="261" t="s">
        <v>70</v>
      </c>
      <c r="C45" s="220">
        <f t="shared" si="2"/>
        <v>0</v>
      </c>
      <c r="D45" s="267"/>
      <c r="E45" s="268"/>
      <c r="F45" s="223"/>
    </row>
    <row r="46" spans="2:6" x14ac:dyDescent="0.3">
      <c r="B46" s="191" t="s">
        <v>71</v>
      </c>
      <c r="C46" s="220">
        <f t="shared" si="2"/>
        <v>0</v>
      </c>
      <c r="D46" s="267"/>
      <c r="E46" s="268"/>
      <c r="F46" s="223"/>
    </row>
    <row r="47" spans="2:6" x14ac:dyDescent="0.3">
      <c r="B47" s="264" t="s">
        <v>72</v>
      </c>
      <c r="C47" s="220">
        <f t="shared" si="2"/>
        <v>0</v>
      </c>
      <c r="D47" s="267"/>
      <c r="E47" s="268"/>
      <c r="F47" s="223"/>
    </row>
    <row r="48" spans="2:6" x14ac:dyDescent="0.3">
      <c r="B48" s="192" t="s">
        <v>73</v>
      </c>
      <c r="C48" s="220">
        <f t="shared" si="2"/>
        <v>0</v>
      </c>
      <c r="D48" s="267"/>
      <c r="E48" s="268"/>
      <c r="F48" s="223"/>
    </row>
    <row r="49" spans="2:6" x14ac:dyDescent="0.3">
      <c r="B49" s="140" t="s">
        <v>183</v>
      </c>
      <c r="C49" s="224">
        <f>SUM(C42:C48)</f>
        <v>0</v>
      </c>
      <c r="D49" s="224">
        <f>SUM(D42:D48)</f>
        <v>0</v>
      </c>
      <c r="E49" s="224">
        <f>SUM(E42:E48)</f>
        <v>0</v>
      </c>
      <c r="F49" s="224">
        <f>SUM(F42:F48)</f>
        <v>0</v>
      </c>
    </row>
  </sheetData>
  <mergeCells count="13">
    <mergeCell ref="B3:C3"/>
    <mergeCell ref="D11:D13"/>
    <mergeCell ref="B40:F40"/>
    <mergeCell ref="B29:F29"/>
    <mergeCell ref="B11:B13"/>
    <mergeCell ref="B7:B9"/>
    <mergeCell ref="C8:C9"/>
    <mergeCell ref="D7:D9"/>
    <mergeCell ref="B4:F4"/>
    <mergeCell ref="B5:B6"/>
    <mergeCell ref="C5:C6"/>
    <mergeCell ref="D5:D6"/>
    <mergeCell ref="E5:F5"/>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67"/>
  <sheetViews>
    <sheetView showGridLines="0" tabSelected="1" topLeftCell="A22" zoomScaleNormal="100" workbookViewId="0">
      <selection activeCell="E19" sqref="E19"/>
    </sheetView>
  </sheetViews>
  <sheetFormatPr defaultColWidth="9.1796875" defaultRowHeight="12" x14ac:dyDescent="0.3"/>
  <cols>
    <col min="1" max="1" width="0.54296875" style="177" customWidth="1"/>
    <col min="2" max="3" width="47.1796875" style="206" customWidth="1"/>
    <col min="4" max="4" width="13.54296875" style="206" customWidth="1"/>
    <col min="5" max="5" width="25.453125" style="206" customWidth="1"/>
    <col min="6" max="6" width="14.54296875" style="206" customWidth="1"/>
    <col min="7" max="7" width="16" style="177" customWidth="1"/>
    <col min="8" max="16384" width="9.1796875" style="177"/>
  </cols>
  <sheetData>
    <row r="3" spans="2:6" x14ac:dyDescent="0.3">
      <c r="B3" s="687" t="s">
        <v>321</v>
      </c>
      <c r="C3" s="687"/>
      <c r="D3" s="137"/>
      <c r="E3" s="137"/>
      <c r="F3" s="138"/>
    </row>
    <row r="4" spans="2:6" ht="25.5" customHeight="1" x14ac:dyDescent="0.3">
      <c r="B4" s="688" t="s">
        <v>255</v>
      </c>
      <c r="C4" s="689"/>
      <c r="D4" s="689"/>
      <c r="E4" s="689"/>
      <c r="F4" s="690"/>
    </row>
    <row r="5" spans="2:6" x14ac:dyDescent="0.3">
      <c r="B5" s="579" t="s">
        <v>102</v>
      </c>
      <c r="C5" s="581" t="s">
        <v>103</v>
      </c>
      <c r="D5" s="583" t="s">
        <v>104</v>
      </c>
      <c r="E5" s="662" t="s">
        <v>105</v>
      </c>
      <c r="F5" s="663"/>
    </row>
    <row r="6" spans="2:6" x14ac:dyDescent="0.3">
      <c r="B6" s="580"/>
      <c r="C6" s="582"/>
      <c r="D6" s="583"/>
      <c r="E6" s="165" t="s">
        <v>110</v>
      </c>
      <c r="F6" s="165" t="s">
        <v>107</v>
      </c>
    </row>
    <row r="7" spans="2:6" ht="14.5" customHeight="1" x14ac:dyDescent="0.3">
      <c r="B7" s="568" t="s">
        <v>322</v>
      </c>
      <c r="C7" s="568" t="s">
        <v>323</v>
      </c>
      <c r="D7" s="566" t="s">
        <v>2</v>
      </c>
      <c r="E7" s="143" t="s">
        <v>67</v>
      </c>
      <c r="F7" s="178">
        <v>89449.373486208933</v>
      </c>
    </row>
    <row r="8" spans="2:6" x14ac:dyDescent="0.3">
      <c r="B8" s="640"/>
      <c r="C8" s="640"/>
      <c r="D8" s="566"/>
      <c r="E8" s="143" t="s">
        <v>71</v>
      </c>
      <c r="F8" s="178">
        <v>13376.892690374671</v>
      </c>
    </row>
    <row r="9" spans="2:6" x14ac:dyDescent="0.3">
      <c r="B9" s="640"/>
      <c r="C9" s="569"/>
      <c r="D9" s="567"/>
      <c r="E9" s="143" t="s">
        <v>73</v>
      </c>
      <c r="F9" s="178">
        <v>1645.0820088258008</v>
      </c>
    </row>
    <row r="10" spans="2:6" x14ac:dyDescent="0.2">
      <c r="B10" s="145" t="s">
        <v>256</v>
      </c>
      <c r="C10" s="151"/>
      <c r="D10" s="294"/>
      <c r="E10" s="145"/>
      <c r="F10" s="295">
        <f>SUM(F7:F9)</f>
        <v>104471.34818540941</v>
      </c>
    </row>
    <row r="11" spans="2:6" ht="28.5" customHeight="1" x14ac:dyDescent="0.3">
      <c r="B11" s="576" t="s">
        <v>143</v>
      </c>
      <c r="C11" s="577"/>
      <c r="D11" s="577"/>
      <c r="E11" s="577"/>
      <c r="F11" s="578"/>
    </row>
    <row r="12" spans="2:6" ht="17.25" customHeight="1" x14ac:dyDescent="0.3">
      <c r="B12" s="579" t="s">
        <v>102</v>
      </c>
      <c r="C12" s="581" t="s">
        <v>103</v>
      </c>
      <c r="D12" s="583" t="s">
        <v>104</v>
      </c>
      <c r="E12" s="662" t="s">
        <v>105</v>
      </c>
      <c r="F12" s="663"/>
    </row>
    <row r="13" spans="2:6" ht="16.5" customHeight="1" x14ac:dyDescent="0.3">
      <c r="B13" s="580"/>
      <c r="C13" s="582"/>
      <c r="D13" s="583"/>
      <c r="E13" s="165" t="s">
        <v>110</v>
      </c>
      <c r="F13" s="165" t="s">
        <v>107</v>
      </c>
    </row>
    <row r="14" spans="2:6" ht="24" customHeight="1" x14ac:dyDescent="0.3">
      <c r="B14" s="568" t="s">
        <v>324</v>
      </c>
      <c r="C14" s="118" t="s">
        <v>233</v>
      </c>
      <c r="D14" s="565" t="s">
        <v>2</v>
      </c>
      <c r="E14" s="143" t="s">
        <v>67</v>
      </c>
      <c r="F14" s="178">
        <v>89449.373486208933</v>
      </c>
    </row>
    <row r="15" spans="2:6" ht="23.15" customHeight="1" x14ac:dyDescent="0.3">
      <c r="B15" s="640"/>
      <c r="C15" s="118" t="s">
        <v>325</v>
      </c>
      <c r="D15" s="566"/>
      <c r="E15" s="143" t="s">
        <v>71</v>
      </c>
      <c r="F15" s="178">
        <v>13376.892690374671</v>
      </c>
    </row>
    <row r="16" spans="2:6" ht="22.5" customHeight="1" x14ac:dyDescent="0.3">
      <c r="B16" s="640"/>
      <c r="C16" s="149" t="s">
        <v>234</v>
      </c>
      <c r="D16" s="566"/>
      <c r="E16" s="568" t="s">
        <v>73</v>
      </c>
      <c r="F16" s="673">
        <v>1645.0820088258008</v>
      </c>
    </row>
    <row r="17" spans="2:7" ht="15.65" customHeight="1" x14ac:dyDescent="0.3">
      <c r="B17" s="569"/>
      <c r="C17" s="297" t="s">
        <v>235</v>
      </c>
      <c r="D17" s="567"/>
      <c r="E17" s="569"/>
      <c r="F17" s="674"/>
    </row>
    <row r="18" spans="2:7" x14ac:dyDescent="0.3">
      <c r="B18" s="145" t="s">
        <v>183</v>
      </c>
      <c r="C18" s="151"/>
      <c r="D18" s="294"/>
      <c r="E18" s="145"/>
      <c r="F18" s="295">
        <f>SUM(F14:F16)</f>
        <v>104471.34818540941</v>
      </c>
    </row>
    <row r="19" spans="2:7" ht="39" customHeight="1" x14ac:dyDescent="0.3">
      <c r="B19" s="559" t="s">
        <v>326</v>
      </c>
      <c r="C19" s="481" t="s">
        <v>327</v>
      </c>
      <c r="D19" s="557" t="s">
        <v>65</v>
      </c>
      <c r="E19" s="517" t="s">
        <v>67</v>
      </c>
      <c r="F19" s="148">
        <v>456976.95</v>
      </c>
    </row>
    <row r="20" spans="2:7" ht="48" x14ac:dyDescent="0.3">
      <c r="B20" s="560"/>
      <c r="C20" s="131" t="s">
        <v>236</v>
      </c>
      <c r="D20" s="557"/>
      <c r="E20" s="133" t="s">
        <v>71</v>
      </c>
      <c r="F20" s="148">
        <v>46000</v>
      </c>
    </row>
    <row r="21" spans="2:7" ht="60" x14ac:dyDescent="0.3">
      <c r="B21" s="560"/>
      <c r="C21" s="131" t="s">
        <v>328</v>
      </c>
      <c r="D21" s="557"/>
      <c r="E21" s="562" t="s">
        <v>73</v>
      </c>
      <c r="F21" s="650">
        <v>77882</v>
      </c>
    </row>
    <row r="22" spans="2:7" ht="72" x14ac:dyDescent="0.3">
      <c r="B22" s="560"/>
      <c r="C22" s="131" t="s">
        <v>329</v>
      </c>
      <c r="D22" s="557"/>
      <c r="E22" s="564"/>
      <c r="F22" s="652"/>
    </row>
    <row r="23" spans="2:7" x14ac:dyDescent="0.2">
      <c r="B23" s="145" t="s">
        <v>183</v>
      </c>
      <c r="C23" s="151"/>
      <c r="D23" s="294"/>
      <c r="E23" s="145"/>
      <c r="F23" s="295">
        <f>SUM(F19:F22)</f>
        <v>580858.94999999995</v>
      </c>
    </row>
    <row r="24" spans="2:7" x14ac:dyDescent="0.2">
      <c r="B24" s="145" t="s">
        <v>256</v>
      </c>
      <c r="C24" s="151"/>
      <c r="D24" s="294"/>
      <c r="E24" s="145"/>
      <c r="F24" s="295">
        <f>F18+F23</f>
        <v>685330.2981854094</v>
      </c>
    </row>
    <row r="25" spans="2:7" x14ac:dyDescent="0.2">
      <c r="B25" s="194" t="s">
        <v>79</v>
      </c>
      <c r="C25" s="187"/>
      <c r="D25" s="187"/>
      <c r="E25" s="187"/>
      <c r="F25" s="189">
        <f>F10+F24</f>
        <v>789801.64637081884</v>
      </c>
      <c r="G25" s="190"/>
    </row>
    <row r="26" spans="2:7" x14ac:dyDescent="0.2">
      <c r="B26" s="191" t="s">
        <v>264</v>
      </c>
      <c r="C26" s="191"/>
      <c r="D26" s="191"/>
      <c r="E26" s="191"/>
      <c r="F26" s="193">
        <f>0.07*F25</f>
        <v>55286.11524595732</v>
      </c>
      <c r="G26" s="190"/>
    </row>
    <row r="27" spans="2:7" x14ac:dyDescent="0.2">
      <c r="B27" s="194" t="s">
        <v>77</v>
      </c>
      <c r="C27" s="187"/>
      <c r="D27" s="187"/>
      <c r="E27" s="187"/>
      <c r="F27" s="189">
        <f>SUM(F25:F26)</f>
        <v>845087.76161677612</v>
      </c>
      <c r="G27" s="190"/>
    </row>
    <row r="29" spans="2:7" x14ac:dyDescent="0.2">
      <c r="B29" s="195" t="s">
        <v>108</v>
      </c>
      <c r="C29" s="195" t="s">
        <v>2</v>
      </c>
      <c r="D29" s="195" t="s">
        <v>65</v>
      </c>
      <c r="E29" s="195" t="s">
        <v>66</v>
      </c>
      <c r="F29" s="195" t="s">
        <v>61</v>
      </c>
    </row>
    <row r="30" spans="2:7" x14ac:dyDescent="0.2">
      <c r="B30" s="141" t="s">
        <v>67</v>
      </c>
      <c r="C30" s="197">
        <f>F7+F14</f>
        <v>178898.74697241787</v>
      </c>
      <c r="D30" s="198">
        <f>F19</f>
        <v>456976.95</v>
      </c>
      <c r="E30" s="232"/>
      <c r="F30" s="200">
        <f t="shared" ref="F30:F35" si="0">SUM(C30:E30)</f>
        <v>635875.69697241788</v>
      </c>
    </row>
    <row r="31" spans="2:7" x14ac:dyDescent="0.2">
      <c r="B31" s="141" t="s">
        <v>71</v>
      </c>
      <c r="C31" s="197">
        <f>F8+F15</f>
        <v>26753.785380749341</v>
      </c>
      <c r="D31" s="198">
        <f>F20</f>
        <v>46000</v>
      </c>
      <c r="E31" s="232"/>
      <c r="F31" s="200">
        <f t="shared" si="0"/>
        <v>72753.785380749337</v>
      </c>
    </row>
    <row r="32" spans="2:7" ht="24" x14ac:dyDescent="0.2">
      <c r="B32" s="142" t="s">
        <v>73</v>
      </c>
      <c r="C32" s="197">
        <f>F9+F16</f>
        <v>3290.1640176516016</v>
      </c>
      <c r="D32" s="198">
        <f>F21</f>
        <v>77882</v>
      </c>
      <c r="E32" s="232"/>
      <c r="F32" s="200">
        <f t="shared" si="0"/>
        <v>81172.164017651608</v>
      </c>
    </row>
    <row r="33" spans="2:7" x14ac:dyDescent="0.2">
      <c r="B33" s="201" t="s">
        <v>79</v>
      </c>
      <c r="C33" s="202">
        <f>SUM(C30:C32)</f>
        <v>208942.69637081883</v>
      </c>
      <c r="D33" s="233">
        <f>SUM(D30:D32)</f>
        <v>580858.94999999995</v>
      </c>
      <c r="E33" s="202"/>
      <c r="F33" s="202">
        <f t="shared" si="0"/>
        <v>789801.64637081884</v>
      </c>
      <c r="G33" s="248">
        <f>C56+C67</f>
        <v>789801.64637081884</v>
      </c>
    </row>
    <row r="34" spans="2:7" x14ac:dyDescent="0.2">
      <c r="B34" s="191" t="s">
        <v>109</v>
      </c>
      <c r="C34" s="197">
        <f>0.07*C33</f>
        <v>14625.98874595732</v>
      </c>
      <c r="D34" s="198">
        <f>0.07*D33</f>
        <v>40660.126499999998</v>
      </c>
      <c r="E34" s="232"/>
      <c r="F34" s="200">
        <f t="shared" si="0"/>
        <v>55286.11524595732</v>
      </c>
    </row>
    <row r="35" spans="2:7" x14ac:dyDescent="0.2">
      <c r="B35" s="286" t="s">
        <v>1</v>
      </c>
      <c r="C35" s="273">
        <f>SUM(C33:C34)</f>
        <v>223568.68511677615</v>
      </c>
      <c r="D35" s="455">
        <f>SUM(D33:D34)</f>
        <v>621519.07649999997</v>
      </c>
      <c r="E35" s="470"/>
      <c r="F35" s="211">
        <f t="shared" si="0"/>
        <v>845087.76161677612</v>
      </c>
    </row>
    <row r="37" spans="2:7" ht="45.75" customHeight="1" thickBot="1" x14ac:dyDescent="0.35">
      <c r="B37" s="213" t="s">
        <v>274</v>
      </c>
      <c r="C37" s="252">
        <f>'Comparativo 2019'!F20</f>
        <v>208943</v>
      </c>
      <c r="D37" s="252">
        <f>'Comparativo 2019'!G20</f>
        <v>518240</v>
      </c>
      <c r="E37" s="252">
        <f>'Comparativo 2019'!H20</f>
        <v>0</v>
      </c>
      <c r="F37" s="252">
        <f>'Comparativo 2019'!I20</f>
        <v>727183</v>
      </c>
    </row>
    <row r="38" spans="2:7" hidden="1" x14ac:dyDescent="0.3">
      <c r="B38" s="226" t="s">
        <v>58</v>
      </c>
    </row>
    <row r="39" spans="2:7" hidden="1" x14ac:dyDescent="0.3">
      <c r="B39" s="195" t="s">
        <v>56</v>
      </c>
      <c r="C39" s="195" t="s">
        <v>2</v>
      </c>
      <c r="D39" s="195" t="s">
        <v>65</v>
      </c>
      <c r="E39" s="195" t="s">
        <v>1</v>
      </c>
    </row>
    <row r="40" spans="2:7" hidden="1" x14ac:dyDescent="0.3">
      <c r="B40" s="141" t="s">
        <v>32</v>
      </c>
      <c r="C40" s="200">
        <f>F14</f>
        <v>89449.373486208933</v>
      </c>
      <c r="D40" s="193">
        <f>D30</f>
        <v>456976.95</v>
      </c>
      <c r="E40" s="200">
        <f>C40+D40</f>
        <v>546426.32348620892</v>
      </c>
    </row>
    <row r="41" spans="2:7" hidden="1" x14ac:dyDescent="0.3">
      <c r="B41" s="141" t="s">
        <v>36</v>
      </c>
      <c r="C41" s="200">
        <f>F15</f>
        <v>13376.892690374671</v>
      </c>
      <c r="D41" s="193">
        <f>D31</f>
        <v>46000</v>
      </c>
      <c r="E41" s="200">
        <f>C41+D41</f>
        <v>59376.892690374669</v>
      </c>
    </row>
    <row r="42" spans="2:7" hidden="1" x14ac:dyDescent="0.3">
      <c r="B42" s="142" t="s">
        <v>37</v>
      </c>
      <c r="C42" s="200">
        <f>F16</f>
        <v>1645.0820088258008</v>
      </c>
      <c r="D42" s="193">
        <f>F21</f>
        <v>77882</v>
      </c>
      <c r="E42" s="200">
        <f>C42+D42</f>
        <v>79527.082008825804</v>
      </c>
    </row>
    <row r="43" spans="2:7" hidden="1" x14ac:dyDescent="0.3">
      <c r="B43" s="191" t="s">
        <v>26</v>
      </c>
      <c r="C43" s="200">
        <f>SUM(C40:C42)</f>
        <v>104471.34818540941</v>
      </c>
      <c r="D43" s="200">
        <f>SUM(D40:D42)</f>
        <v>580858.94999999995</v>
      </c>
      <c r="E43" s="200">
        <f>C43+D43</f>
        <v>685330.2981854094</v>
      </c>
    </row>
    <row r="44" spans="2:7" hidden="1" x14ac:dyDescent="0.3">
      <c r="B44" s="191" t="s">
        <v>57</v>
      </c>
      <c r="C44" s="193">
        <f>0.07*C43</f>
        <v>7312.9943729786601</v>
      </c>
      <c r="D44" s="193">
        <f>0.07*D43</f>
        <v>40660.126499999998</v>
      </c>
      <c r="E44" s="193">
        <f>0.07*E43</f>
        <v>47973.120872978659</v>
      </c>
    </row>
    <row r="45" spans="2:7" hidden="1" x14ac:dyDescent="0.3">
      <c r="B45" s="195" t="s">
        <v>1</v>
      </c>
      <c r="C45" s="296">
        <f>SUM(C43:C44)</f>
        <v>111784.34255838807</v>
      </c>
      <c r="D45" s="296">
        <f>SUM(D43:D44)</f>
        <v>621519.07649999997</v>
      </c>
      <c r="E45" s="296">
        <f>SUM(E43:E44)</f>
        <v>733303.4190583881</v>
      </c>
    </row>
    <row r="46" spans="2:7" ht="12.75" thickTop="1" x14ac:dyDescent="0.2"/>
    <row r="47" spans="2:7" x14ac:dyDescent="0.3">
      <c r="B47" s="576" t="s">
        <v>255</v>
      </c>
      <c r="C47" s="577"/>
      <c r="D47" s="577"/>
      <c r="E47" s="577"/>
      <c r="F47" s="578"/>
    </row>
    <row r="48" spans="2:7" x14ac:dyDescent="0.3">
      <c r="B48" s="216" t="s">
        <v>110</v>
      </c>
      <c r="C48" s="217" t="s">
        <v>60</v>
      </c>
      <c r="D48" s="218" t="s">
        <v>2</v>
      </c>
      <c r="E48" s="237" t="s">
        <v>65</v>
      </c>
      <c r="F48" s="218" t="s">
        <v>66</v>
      </c>
    </row>
    <row r="49" spans="2:6" x14ac:dyDescent="0.2">
      <c r="B49" s="141" t="s">
        <v>67</v>
      </c>
      <c r="C49" s="220">
        <f>D49+E49+F49</f>
        <v>89449.373486208933</v>
      </c>
      <c r="D49" s="197">
        <f>F7</f>
        <v>89449.373486208933</v>
      </c>
      <c r="E49" s="198"/>
      <c r="F49" s="232"/>
    </row>
    <row r="50" spans="2:6" x14ac:dyDescent="0.2">
      <c r="B50" s="261" t="s">
        <v>68</v>
      </c>
      <c r="C50" s="220">
        <f t="shared" ref="C50:C55" si="1">D50+E50+F50</f>
        <v>0</v>
      </c>
      <c r="D50" s="197"/>
      <c r="E50" s="198"/>
      <c r="F50" s="232"/>
    </row>
    <row r="51" spans="2:6" x14ac:dyDescent="0.3">
      <c r="B51" s="264" t="s">
        <v>69</v>
      </c>
      <c r="C51" s="220">
        <f t="shared" si="1"/>
        <v>0</v>
      </c>
      <c r="D51" s="197"/>
      <c r="E51" s="198"/>
      <c r="F51" s="232"/>
    </row>
    <row r="52" spans="2:6" x14ac:dyDescent="0.2">
      <c r="B52" s="261" t="s">
        <v>70</v>
      </c>
      <c r="C52" s="220">
        <f t="shared" si="1"/>
        <v>0</v>
      </c>
      <c r="D52" s="197"/>
      <c r="E52" s="198"/>
      <c r="F52" s="232"/>
    </row>
    <row r="53" spans="2:6" x14ac:dyDescent="0.2">
      <c r="B53" s="191" t="s">
        <v>71</v>
      </c>
      <c r="C53" s="220">
        <f t="shared" si="1"/>
        <v>13376.892690374671</v>
      </c>
      <c r="D53" s="197">
        <f>F8</f>
        <v>13376.892690374671</v>
      </c>
      <c r="E53" s="198"/>
      <c r="F53" s="232"/>
    </row>
    <row r="54" spans="2:6" x14ac:dyDescent="0.2">
      <c r="B54" s="264" t="s">
        <v>72</v>
      </c>
      <c r="C54" s="220">
        <f t="shared" si="1"/>
        <v>0</v>
      </c>
      <c r="D54" s="197"/>
      <c r="E54" s="198"/>
      <c r="F54" s="232"/>
    </row>
    <row r="55" spans="2:6" ht="24" x14ac:dyDescent="0.2">
      <c r="B55" s="192" t="s">
        <v>73</v>
      </c>
      <c r="C55" s="220">
        <f t="shared" si="1"/>
        <v>1645.0820088258008</v>
      </c>
      <c r="D55" s="197">
        <f>F9</f>
        <v>1645.0820088258008</v>
      </c>
      <c r="E55" s="198"/>
      <c r="F55" s="232"/>
    </row>
    <row r="56" spans="2:6" x14ac:dyDescent="0.2">
      <c r="B56" s="140" t="s">
        <v>183</v>
      </c>
      <c r="C56" s="224">
        <f>SUM(C49:C55)</f>
        <v>104471.34818540941</v>
      </c>
      <c r="D56" s="224">
        <f>SUM(D49:D55)</f>
        <v>104471.34818540941</v>
      </c>
      <c r="E56" s="224">
        <f>SUM(E49:E55)</f>
        <v>0</v>
      </c>
      <c r="F56" s="224">
        <f>SUM(F49:F55)</f>
        <v>0</v>
      </c>
    </row>
    <row r="58" spans="2:6" ht="34.5" customHeight="1" x14ac:dyDescent="0.3">
      <c r="B58" s="576" t="s">
        <v>143</v>
      </c>
      <c r="C58" s="577"/>
      <c r="D58" s="577"/>
      <c r="E58" s="577"/>
      <c r="F58" s="578"/>
    </row>
    <row r="59" spans="2:6" x14ac:dyDescent="0.3">
      <c r="B59" s="216" t="s">
        <v>110</v>
      </c>
      <c r="C59" s="217" t="s">
        <v>60</v>
      </c>
      <c r="D59" s="218" t="s">
        <v>2</v>
      </c>
      <c r="E59" s="237" t="s">
        <v>65</v>
      </c>
      <c r="F59" s="218" t="s">
        <v>66</v>
      </c>
    </row>
    <row r="60" spans="2:6" x14ac:dyDescent="0.3">
      <c r="B60" s="141" t="s">
        <v>67</v>
      </c>
      <c r="C60" s="220">
        <f>D60+E60+F60</f>
        <v>546426.32348620892</v>
      </c>
      <c r="D60" s="197">
        <f>F14</f>
        <v>89449.373486208933</v>
      </c>
      <c r="E60" s="198">
        <f>D30</f>
        <v>456976.95</v>
      </c>
      <c r="F60" s="232"/>
    </row>
    <row r="61" spans="2:6" x14ac:dyDescent="0.3">
      <c r="B61" s="261" t="s">
        <v>68</v>
      </c>
      <c r="C61" s="220">
        <f t="shared" ref="C61:C66" si="2">D61+E61+F61</f>
        <v>0</v>
      </c>
      <c r="D61" s="197"/>
      <c r="E61" s="198"/>
      <c r="F61" s="232"/>
    </row>
    <row r="62" spans="2:6" x14ac:dyDescent="0.3">
      <c r="B62" s="264" t="s">
        <v>69</v>
      </c>
      <c r="C62" s="220">
        <f t="shared" si="2"/>
        <v>0</v>
      </c>
      <c r="D62" s="197"/>
      <c r="E62" s="198"/>
      <c r="F62" s="232"/>
    </row>
    <row r="63" spans="2:6" x14ac:dyDescent="0.3">
      <c r="B63" s="261" t="s">
        <v>70</v>
      </c>
      <c r="C63" s="220">
        <f t="shared" si="2"/>
        <v>0</v>
      </c>
      <c r="D63" s="197"/>
      <c r="E63" s="198"/>
      <c r="F63" s="232"/>
    </row>
    <row r="64" spans="2:6" x14ac:dyDescent="0.3">
      <c r="B64" s="191" t="s">
        <v>71</v>
      </c>
      <c r="C64" s="220">
        <f t="shared" si="2"/>
        <v>59376.892690374669</v>
      </c>
      <c r="D64" s="197">
        <f>F15</f>
        <v>13376.892690374671</v>
      </c>
      <c r="E64" s="198">
        <f>D31</f>
        <v>46000</v>
      </c>
      <c r="F64" s="232"/>
    </row>
    <row r="65" spans="2:6" x14ac:dyDescent="0.3">
      <c r="B65" s="264" t="s">
        <v>72</v>
      </c>
      <c r="C65" s="220">
        <f t="shared" si="2"/>
        <v>0</v>
      </c>
      <c r="D65" s="197"/>
      <c r="E65" s="198"/>
      <c r="F65" s="232"/>
    </row>
    <row r="66" spans="2:6" x14ac:dyDescent="0.3">
      <c r="B66" s="192" t="s">
        <v>73</v>
      </c>
      <c r="C66" s="220">
        <f t="shared" si="2"/>
        <v>79527.082008825804</v>
      </c>
      <c r="D66" s="197">
        <f>F16</f>
        <v>1645.0820088258008</v>
      </c>
      <c r="E66" s="198">
        <f>D32</f>
        <v>77882</v>
      </c>
      <c r="F66" s="232"/>
    </row>
    <row r="67" spans="2:6" x14ac:dyDescent="0.3">
      <c r="B67" s="140" t="s">
        <v>183</v>
      </c>
      <c r="C67" s="224">
        <f>SUM(C60:C66)</f>
        <v>685330.2981854094</v>
      </c>
      <c r="D67" s="224">
        <f>SUM(D60:D66)</f>
        <v>104471.34818540941</v>
      </c>
      <c r="E67" s="224">
        <f>SUM(E60:E66)</f>
        <v>580858.94999999995</v>
      </c>
      <c r="F67" s="224">
        <f>SUM(F60:F66)</f>
        <v>0</v>
      </c>
    </row>
  </sheetData>
  <mergeCells count="24">
    <mergeCell ref="C12:C13"/>
    <mergeCell ref="D12:D13"/>
    <mergeCell ref="E12:F12"/>
    <mergeCell ref="B4:F4"/>
    <mergeCell ref="B5:B6"/>
    <mergeCell ref="C5:C6"/>
    <mergeCell ref="D5:D6"/>
    <mergeCell ref="E5:F5"/>
    <mergeCell ref="B3:C3"/>
    <mergeCell ref="B58:F58"/>
    <mergeCell ref="B47:F47"/>
    <mergeCell ref="D19:D22"/>
    <mergeCell ref="B19:B22"/>
    <mergeCell ref="E21:E22"/>
    <mergeCell ref="F21:F22"/>
    <mergeCell ref="B7:B9"/>
    <mergeCell ref="D7:D9"/>
    <mergeCell ref="B11:F11"/>
    <mergeCell ref="E16:E17"/>
    <mergeCell ref="F16:F17"/>
    <mergeCell ref="D14:D17"/>
    <mergeCell ref="B12:B13"/>
    <mergeCell ref="C7:C9"/>
    <mergeCell ref="B14:B17"/>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G51"/>
  <sheetViews>
    <sheetView showGridLines="0" zoomScaleNormal="100" workbookViewId="0">
      <selection activeCell="C13" sqref="C13"/>
    </sheetView>
  </sheetViews>
  <sheetFormatPr defaultColWidth="9.1796875" defaultRowHeight="12" x14ac:dyDescent="0.3"/>
  <cols>
    <col min="1" max="1" width="1.7265625" style="177" customWidth="1"/>
    <col min="2" max="2" width="45.26953125" style="206" customWidth="1"/>
    <col min="3" max="3" width="56.54296875" style="206" customWidth="1"/>
    <col min="4" max="4" width="10.54296875" style="206" customWidth="1"/>
    <col min="5" max="5" width="26.81640625" style="206" customWidth="1"/>
    <col min="6" max="6" width="14.1796875" style="206" customWidth="1"/>
    <col min="7" max="7" width="18.26953125" style="206" customWidth="1"/>
    <col min="8" max="16384" width="9.1796875" style="177"/>
  </cols>
  <sheetData>
    <row r="3" spans="2:7" x14ac:dyDescent="0.3">
      <c r="B3" s="137" t="s">
        <v>330</v>
      </c>
      <c r="C3" s="137"/>
      <c r="D3" s="137"/>
      <c r="E3" s="137"/>
      <c r="F3" s="138"/>
    </row>
    <row r="4" spans="2:7" ht="28.5" customHeight="1" x14ac:dyDescent="0.3">
      <c r="B4" s="688" t="s">
        <v>255</v>
      </c>
      <c r="C4" s="689"/>
      <c r="D4" s="689"/>
      <c r="E4" s="689"/>
      <c r="F4" s="690"/>
    </row>
    <row r="5" spans="2:7" ht="17.25" customHeight="1" x14ac:dyDescent="0.3">
      <c r="B5" s="579" t="s">
        <v>102</v>
      </c>
      <c r="C5" s="581" t="s">
        <v>103</v>
      </c>
      <c r="D5" s="583" t="s">
        <v>104</v>
      </c>
      <c r="E5" s="662" t="s">
        <v>105</v>
      </c>
      <c r="F5" s="663"/>
    </row>
    <row r="6" spans="2:7" x14ac:dyDescent="0.3">
      <c r="B6" s="580"/>
      <c r="C6" s="582"/>
      <c r="D6" s="583"/>
      <c r="E6" s="165" t="s">
        <v>110</v>
      </c>
      <c r="F6" s="165" t="s">
        <v>107</v>
      </c>
    </row>
    <row r="7" spans="2:7" x14ac:dyDescent="0.3">
      <c r="B7" s="568" t="s">
        <v>239</v>
      </c>
      <c r="C7" s="119" t="s">
        <v>240</v>
      </c>
      <c r="D7" s="566" t="s">
        <v>2</v>
      </c>
      <c r="E7" s="143" t="s">
        <v>67</v>
      </c>
      <c r="F7" s="178">
        <v>271274.4286570861</v>
      </c>
    </row>
    <row r="8" spans="2:7" x14ac:dyDescent="0.3">
      <c r="B8" s="640"/>
      <c r="C8" s="175" t="s">
        <v>331</v>
      </c>
      <c r="D8" s="566"/>
      <c r="E8" s="143" t="s">
        <v>71</v>
      </c>
      <c r="F8" s="178">
        <v>8380.8199986697764</v>
      </c>
    </row>
    <row r="9" spans="2:7" ht="36" x14ac:dyDescent="0.3">
      <c r="B9" s="569"/>
      <c r="C9" s="175" t="s">
        <v>332</v>
      </c>
      <c r="D9" s="567"/>
      <c r="E9" s="506" t="s">
        <v>73</v>
      </c>
      <c r="F9" s="178">
        <v>2512.6498567677518</v>
      </c>
    </row>
    <row r="10" spans="2:7" x14ac:dyDescent="0.2">
      <c r="B10" s="145" t="s">
        <v>183</v>
      </c>
      <c r="C10" s="151"/>
      <c r="D10" s="294"/>
      <c r="E10" s="145"/>
      <c r="F10" s="295">
        <f>SUM(F7:F9)</f>
        <v>282167.89851252362</v>
      </c>
    </row>
    <row r="11" spans="2:7" ht="40.5" customHeight="1" x14ac:dyDescent="0.3">
      <c r="B11" s="554" t="s">
        <v>333</v>
      </c>
      <c r="C11" s="175" t="s">
        <v>336</v>
      </c>
      <c r="D11" s="566" t="s">
        <v>2</v>
      </c>
      <c r="E11" s="143" t="s">
        <v>67</v>
      </c>
      <c r="F11" s="178">
        <v>30141.603184120679</v>
      </c>
    </row>
    <row r="12" spans="2:7" ht="125.15" customHeight="1" x14ac:dyDescent="0.3">
      <c r="B12" s="555"/>
      <c r="C12" s="175" t="s">
        <v>335</v>
      </c>
      <c r="D12" s="566"/>
      <c r="E12" s="143" t="s">
        <v>71</v>
      </c>
      <c r="F12" s="178">
        <v>8380.8199986697764</v>
      </c>
    </row>
    <row r="13" spans="2:7" ht="24" x14ac:dyDescent="0.3">
      <c r="B13" s="556"/>
      <c r="C13" s="175" t="s">
        <v>334</v>
      </c>
      <c r="D13" s="567"/>
      <c r="E13" s="175" t="s">
        <v>73</v>
      </c>
      <c r="F13" s="178">
        <v>2512.6498567677518</v>
      </c>
    </row>
    <row r="14" spans="2:7" x14ac:dyDescent="0.3">
      <c r="B14" s="145" t="s">
        <v>183</v>
      </c>
      <c r="C14" s="151"/>
      <c r="D14" s="294"/>
      <c r="E14" s="145"/>
      <c r="F14" s="295">
        <f>SUM(F11:F13)</f>
        <v>41035.073039558207</v>
      </c>
    </row>
    <row r="15" spans="2:7" x14ac:dyDescent="0.3">
      <c r="B15" s="145" t="s">
        <v>256</v>
      </c>
      <c r="C15" s="151"/>
      <c r="D15" s="294"/>
      <c r="E15" s="145"/>
      <c r="F15" s="295">
        <f>F14+F10</f>
        <v>323202.97155208181</v>
      </c>
    </row>
    <row r="16" spans="2:7" x14ac:dyDescent="0.3">
      <c r="B16" s="194" t="s">
        <v>79</v>
      </c>
      <c r="C16" s="187"/>
      <c r="D16" s="187"/>
      <c r="E16" s="187"/>
      <c r="F16" s="189">
        <f>F15+F5</f>
        <v>323202.97155208181</v>
      </c>
      <c r="G16" s="258"/>
    </row>
    <row r="17" spans="2:7" x14ac:dyDescent="0.3">
      <c r="B17" s="191" t="s">
        <v>264</v>
      </c>
      <c r="C17" s="191"/>
      <c r="D17" s="191"/>
      <c r="E17" s="191"/>
      <c r="F17" s="193">
        <f>0.07*F16</f>
        <v>22624.208008645728</v>
      </c>
      <c r="G17" s="258"/>
    </row>
    <row r="18" spans="2:7" x14ac:dyDescent="0.3">
      <c r="B18" s="194" t="s">
        <v>77</v>
      </c>
      <c r="C18" s="187"/>
      <c r="D18" s="187"/>
      <c r="E18" s="187"/>
      <c r="F18" s="255">
        <f>SUM(F16:F17)</f>
        <v>345827.17956072756</v>
      </c>
      <c r="G18" s="258"/>
    </row>
    <row r="21" spans="2:7" x14ac:dyDescent="0.3">
      <c r="B21" s="195" t="s">
        <v>108</v>
      </c>
      <c r="C21" s="195" t="s">
        <v>2</v>
      </c>
      <c r="D21" s="195" t="s">
        <v>65</v>
      </c>
      <c r="E21" s="195" t="s">
        <v>66</v>
      </c>
      <c r="F21" s="195" t="s">
        <v>61</v>
      </c>
    </row>
    <row r="22" spans="2:7" x14ac:dyDescent="0.3">
      <c r="B22" s="141" t="s">
        <v>67</v>
      </c>
      <c r="C22" s="197">
        <f>F7+F11</f>
        <v>301416.03184120677</v>
      </c>
      <c r="D22" s="198"/>
      <c r="E22" s="232"/>
      <c r="F22" s="200"/>
    </row>
    <row r="23" spans="2:7" x14ac:dyDescent="0.3">
      <c r="B23" s="141" t="s">
        <v>71</v>
      </c>
      <c r="C23" s="197">
        <f>F8+F12</f>
        <v>16761.639997339553</v>
      </c>
      <c r="D23" s="198"/>
      <c r="E23" s="232"/>
      <c r="F23" s="200"/>
    </row>
    <row r="24" spans="2:7" x14ac:dyDescent="0.3">
      <c r="B24" s="142" t="s">
        <v>73</v>
      </c>
      <c r="C24" s="197">
        <f>F9+F13</f>
        <v>5025.2997135355035</v>
      </c>
      <c r="D24" s="198"/>
      <c r="E24" s="232"/>
      <c r="F24" s="200"/>
    </row>
    <row r="25" spans="2:7" x14ac:dyDescent="0.3">
      <c r="B25" s="201" t="s">
        <v>79</v>
      </c>
      <c r="C25" s="202">
        <f>SUM(C22:C24)</f>
        <v>323202.97155208187</v>
      </c>
      <c r="D25" s="233"/>
      <c r="E25" s="202"/>
      <c r="F25" s="202"/>
      <c r="G25" s="260">
        <f>C40+C51</f>
        <v>323202.97155208187</v>
      </c>
    </row>
    <row r="26" spans="2:7" x14ac:dyDescent="0.3">
      <c r="B26" s="191" t="s">
        <v>109</v>
      </c>
      <c r="C26" s="197">
        <f>0.07*C25</f>
        <v>22624.208008645732</v>
      </c>
      <c r="D26" s="268"/>
      <c r="E26" s="223"/>
      <c r="F26" s="204"/>
    </row>
    <row r="27" spans="2:7" x14ac:dyDescent="0.3">
      <c r="B27" s="210" t="s">
        <v>1</v>
      </c>
      <c r="C27" s="273">
        <f>SUM(C25:C26)</f>
        <v>345827.17956072761</v>
      </c>
      <c r="D27" s="455"/>
      <c r="E27" s="470"/>
      <c r="F27" s="211"/>
    </row>
    <row r="29" spans="2:7" ht="24.5" thickBot="1" x14ac:dyDescent="0.35">
      <c r="B29" s="213" t="s">
        <v>274</v>
      </c>
      <c r="C29" s="252">
        <f>'Comparativo 2019'!F21</f>
        <v>323203</v>
      </c>
      <c r="D29" s="252">
        <f>'Comparativo 2019'!G21</f>
        <v>0</v>
      </c>
      <c r="E29" s="252">
        <f>'Comparativo 2019'!H21</f>
        <v>0</v>
      </c>
      <c r="F29" s="252">
        <f>'Comparativo 2019'!I21</f>
        <v>323203</v>
      </c>
    </row>
    <row r="30" spans="2:7" ht="12.5" thickTop="1" x14ac:dyDescent="0.3"/>
    <row r="31" spans="2:7" x14ac:dyDescent="0.3">
      <c r="B31" s="576" t="s">
        <v>255</v>
      </c>
      <c r="C31" s="577"/>
      <c r="D31" s="577"/>
      <c r="E31" s="577"/>
      <c r="F31" s="578"/>
    </row>
    <row r="32" spans="2:7" x14ac:dyDescent="0.3">
      <c r="B32" s="216" t="s">
        <v>110</v>
      </c>
      <c r="C32" s="217" t="s">
        <v>60</v>
      </c>
      <c r="D32" s="218" t="s">
        <v>2</v>
      </c>
      <c r="E32" s="237" t="s">
        <v>65</v>
      </c>
      <c r="F32" s="218" t="s">
        <v>66</v>
      </c>
    </row>
    <row r="33" spans="2:6" x14ac:dyDescent="0.3">
      <c r="B33" s="141" t="s">
        <v>67</v>
      </c>
      <c r="C33" s="220">
        <f>D33+E33+F33</f>
        <v>301416.03184120677</v>
      </c>
      <c r="D33" s="197">
        <f>C22</f>
        <v>301416.03184120677</v>
      </c>
      <c r="E33" s="268"/>
      <c r="F33" s="223"/>
    </row>
    <row r="34" spans="2:6" x14ac:dyDescent="0.3">
      <c r="B34" s="261" t="s">
        <v>68</v>
      </c>
      <c r="C34" s="220">
        <f t="shared" ref="C34:C39" si="0">D34+E34+F34</f>
        <v>0</v>
      </c>
      <c r="D34" s="197"/>
      <c r="E34" s="268"/>
      <c r="F34" s="223"/>
    </row>
    <row r="35" spans="2:6" x14ac:dyDescent="0.3">
      <c r="B35" s="264" t="s">
        <v>69</v>
      </c>
      <c r="C35" s="220">
        <f t="shared" si="0"/>
        <v>0</v>
      </c>
      <c r="D35" s="197"/>
      <c r="E35" s="268"/>
      <c r="F35" s="223"/>
    </row>
    <row r="36" spans="2:6" x14ac:dyDescent="0.3">
      <c r="B36" s="261" t="s">
        <v>70</v>
      </c>
      <c r="C36" s="220">
        <f t="shared" si="0"/>
        <v>0</v>
      </c>
      <c r="D36" s="197"/>
      <c r="E36" s="268"/>
      <c r="F36" s="223"/>
    </row>
    <row r="37" spans="2:6" x14ac:dyDescent="0.3">
      <c r="B37" s="191" t="s">
        <v>71</v>
      </c>
      <c r="C37" s="220">
        <f t="shared" si="0"/>
        <v>16761.639997339553</v>
      </c>
      <c r="D37" s="197">
        <f>C23</f>
        <v>16761.639997339553</v>
      </c>
      <c r="E37" s="268"/>
      <c r="F37" s="223"/>
    </row>
    <row r="38" spans="2:6" x14ac:dyDescent="0.3">
      <c r="B38" s="264" t="s">
        <v>72</v>
      </c>
      <c r="C38" s="220">
        <f t="shared" si="0"/>
        <v>0</v>
      </c>
      <c r="D38" s="197"/>
      <c r="E38" s="268"/>
      <c r="F38" s="223"/>
    </row>
    <row r="39" spans="2:6" x14ac:dyDescent="0.3">
      <c r="B39" s="192" t="s">
        <v>73</v>
      </c>
      <c r="C39" s="220">
        <f t="shared" si="0"/>
        <v>5025.2997135355035</v>
      </c>
      <c r="D39" s="197">
        <f>C24</f>
        <v>5025.2997135355035</v>
      </c>
      <c r="E39" s="268"/>
      <c r="F39" s="223"/>
    </row>
    <row r="40" spans="2:6" x14ac:dyDescent="0.3">
      <c r="B40" s="140" t="s">
        <v>183</v>
      </c>
      <c r="C40" s="224">
        <f>SUM(C33:C39)</f>
        <v>323202.97155208187</v>
      </c>
      <c r="D40" s="224">
        <f>SUM(D33:D39)</f>
        <v>323202.97155208187</v>
      </c>
      <c r="E40" s="224">
        <f>SUM(E33:E39)</f>
        <v>0</v>
      </c>
      <c r="F40" s="224">
        <f>SUM(F33:F39)</f>
        <v>0</v>
      </c>
    </row>
    <row r="42" spans="2:6" ht="37.5" customHeight="1" x14ac:dyDescent="0.3">
      <c r="B42" s="576" t="s">
        <v>143</v>
      </c>
      <c r="C42" s="577"/>
      <c r="D42" s="577"/>
      <c r="E42" s="577"/>
      <c r="F42" s="578"/>
    </row>
    <row r="43" spans="2:6" x14ac:dyDescent="0.3">
      <c r="B43" s="216" t="s">
        <v>110</v>
      </c>
      <c r="C43" s="217" t="s">
        <v>60</v>
      </c>
      <c r="D43" s="218" t="s">
        <v>2</v>
      </c>
      <c r="E43" s="237" t="s">
        <v>65</v>
      </c>
      <c r="F43" s="218" t="s">
        <v>66</v>
      </c>
    </row>
    <row r="44" spans="2:6" x14ac:dyDescent="0.3">
      <c r="B44" s="141" t="s">
        <v>67</v>
      </c>
      <c r="C44" s="220">
        <f>D44+E44+F44</f>
        <v>0</v>
      </c>
      <c r="D44" s="197"/>
      <c r="E44" s="268"/>
      <c r="F44" s="223"/>
    </row>
    <row r="45" spans="2:6" x14ac:dyDescent="0.3">
      <c r="B45" s="261" t="s">
        <v>68</v>
      </c>
      <c r="C45" s="220">
        <f t="shared" ref="C45:C50" si="1">D45+E45+F45</f>
        <v>0</v>
      </c>
      <c r="D45" s="197"/>
      <c r="E45" s="268"/>
      <c r="F45" s="223"/>
    </row>
    <row r="46" spans="2:6" x14ac:dyDescent="0.3">
      <c r="B46" s="264" t="s">
        <v>69</v>
      </c>
      <c r="C46" s="220">
        <f t="shared" si="1"/>
        <v>0</v>
      </c>
      <c r="D46" s="197"/>
      <c r="E46" s="268"/>
      <c r="F46" s="223"/>
    </row>
    <row r="47" spans="2:6" x14ac:dyDescent="0.3">
      <c r="B47" s="261" t="s">
        <v>70</v>
      </c>
      <c r="C47" s="220">
        <f t="shared" si="1"/>
        <v>0</v>
      </c>
      <c r="D47" s="197"/>
      <c r="E47" s="268"/>
      <c r="F47" s="223"/>
    </row>
    <row r="48" spans="2:6" x14ac:dyDescent="0.3">
      <c r="B48" s="191" t="s">
        <v>71</v>
      </c>
      <c r="C48" s="220">
        <f t="shared" si="1"/>
        <v>0</v>
      </c>
      <c r="D48" s="197"/>
      <c r="E48" s="268"/>
      <c r="F48" s="223"/>
    </row>
    <row r="49" spans="2:6" x14ac:dyDescent="0.3">
      <c r="B49" s="264" t="s">
        <v>72</v>
      </c>
      <c r="C49" s="220">
        <f t="shared" si="1"/>
        <v>0</v>
      </c>
      <c r="D49" s="197"/>
      <c r="E49" s="268"/>
      <c r="F49" s="223"/>
    </row>
    <row r="50" spans="2:6" x14ac:dyDescent="0.3">
      <c r="B50" s="192" t="s">
        <v>73</v>
      </c>
      <c r="C50" s="220">
        <f t="shared" si="1"/>
        <v>0</v>
      </c>
      <c r="D50" s="197"/>
      <c r="E50" s="268"/>
      <c r="F50" s="223"/>
    </row>
    <row r="51" spans="2:6" x14ac:dyDescent="0.3">
      <c r="B51" s="140" t="s">
        <v>183</v>
      </c>
      <c r="C51" s="224">
        <f>SUM(C44:C50)</f>
        <v>0</v>
      </c>
      <c r="D51" s="224">
        <f>SUM(D44:D50)</f>
        <v>0</v>
      </c>
      <c r="E51" s="224">
        <f>SUM(E44:E50)</f>
        <v>0</v>
      </c>
      <c r="F51" s="224">
        <f>SUM(F44:F50)</f>
        <v>0</v>
      </c>
    </row>
  </sheetData>
  <mergeCells count="11">
    <mergeCell ref="B4:F4"/>
    <mergeCell ref="B5:B6"/>
    <mergeCell ref="C5:C6"/>
    <mergeCell ref="D5:D6"/>
    <mergeCell ref="E5:F5"/>
    <mergeCell ref="D7:D9"/>
    <mergeCell ref="B42:F42"/>
    <mergeCell ref="B31:F31"/>
    <mergeCell ref="B11:B13"/>
    <mergeCell ref="D11:D13"/>
    <mergeCell ref="B7:B9"/>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796875" defaultRowHeight="14.5" x14ac:dyDescent="0.3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796875" defaultRowHeight="14.5" x14ac:dyDescent="0.3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F70"/>
  <sheetViews>
    <sheetView showGridLines="0" topLeftCell="A10" zoomScaleNormal="100" workbookViewId="0">
      <selection activeCell="F22" sqref="F22"/>
    </sheetView>
  </sheetViews>
  <sheetFormatPr defaultColWidth="9.1796875" defaultRowHeight="12" x14ac:dyDescent="0.3"/>
  <cols>
    <col min="1" max="1" width="1" style="177" customWidth="1"/>
    <col min="2" max="2" width="37.453125" style="206" customWidth="1"/>
    <col min="3" max="3" width="52.1796875" style="206" customWidth="1"/>
    <col min="4" max="4" width="14" style="206" customWidth="1"/>
    <col min="5" max="5" width="28.7265625" style="206" customWidth="1"/>
    <col min="6" max="6" width="19.7265625" style="206" customWidth="1"/>
    <col min="7" max="16384" width="9.1796875" style="177"/>
  </cols>
  <sheetData>
    <row r="3" spans="2:6" x14ac:dyDescent="0.3">
      <c r="B3" s="695" t="s">
        <v>337</v>
      </c>
      <c r="C3" s="695"/>
      <c r="D3" s="695"/>
      <c r="E3" s="695"/>
      <c r="F3" s="695"/>
    </row>
    <row r="4" spans="2:6" ht="22.5" customHeight="1" x14ac:dyDescent="0.3">
      <c r="B4" s="688" t="s">
        <v>255</v>
      </c>
      <c r="C4" s="689"/>
      <c r="D4" s="689"/>
      <c r="E4" s="689"/>
      <c r="F4" s="690"/>
    </row>
    <row r="5" spans="2:6" x14ac:dyDescent="0.3">
      <c r="B5" s="579" t="s">
        <v>102</v>
      </c>
      <c r="C5" s="581" t="s">
        <v>103</v>
      </c>
      <c r="D5" s="583" t="s">
        <v>104</v>
      </c>
      <c r="E5" s="662" t="s">
        <v>105</v>
      </c>
      <c r="F5" s="663"/>
    </row>
    <row r="6" spans="2:6" x14ac:dyDescent="0.3">
      <c r="B6" s="580"/>
      <c r="C6" s="582"/>
      <c r="D6" s="583"/>
      <c r="E6" s="477" t="s">
        <v>110</v>
      </c>
      <c r="F6" s="477" t="s">
        <v>107</v>
      </c>
    </row>
    <row r="7" spans="2:6" ht="18.649999999999999" customHeight="1" x14ac:dyDescent="0.3">
      <c r="B7" s="608" t="s">
        <v>241</v>
      </c>
      <c r="C7" s="490" t="s">
        <v>242</v>
      </c>
      <c r="D7" s="566" t="s">
        <v>2</v>
      </c>
      <c r="E7" s="143" t="s">
        <v>67</v>
      </c>
      <c r="F7" s="178">
        <v>60000</v>
      </c>
    </row>
    <row r="8" spans="2:6" ht="14.15" customHeight="1" x14ac:dyDescent="0.3">
      <c r="B8" s="608"/>
      <c r="C8" s="568" t="s">
        <v>243</v>
      </c>
      <c r="D8" s="566"/>
      <c r="E8" s="143" t="s">
        <v>71</v>
      </c>
      <c r="F8" s="178">
        <v>15000</v>
      </c>
    </row>
    <row r="9" spans="2:6" ht="19.5" customHeight="1" x14ac:dyDescent="0.3">
      <c r="B9" s="608"/>
      <c r="C9" s="569"/>
      <c r="D9" s="567"/>
      <c r="E9" s="506" t="s">
        <v>73</v>
      </c>
      <c r="F9" s="178"/>
    </row>
    <row r="10" spans="2:6" x14ac:dyDescent="0.2">
      <c r="B10" s="145" t="s">
        <v>256</v>
      </c>
      <c r="C10" s="151"/>
      <c r="D10" s="294"/>
      <c r="E10" s="145"/>
      <c r="F10" s="295">
        <f>SUM(F7:F9)</f>
        <v>75000</v>
      </c>
    </row>
    <row r="11" spans="2:6" ht="28.5" customHeight="1" x14ac:dyDescent="0.3">
      <c r="B11" s="576" t="s">
        <v>143</v>
      </c>
      <c r="C11" s="577"/>
      <c r="D11" s="577"/>
      <c r="E11" s="577"/>
      <c r="F11" s="578"/>
    </row>
    <row r="12" spans="2:6" ht="17.25" customHeight="1" x14ac:dyDescent="0.3">
      <c r="B12" s="579" t="s">
        <v>102</v>
      </c>
      <c r="C12" s="581" t="s">
        <v>103</v>
      </c>
      <c r="D12" s="583" t="s">
        <v>104</v>
      </c>
      <c r="E12" s="583" t="s">
        <v>105</v>
      </c>
      <c r="F12" s="583"/>
    </row>
    <row r="13" spans="2:6" ht="19.5" customHeight="1" x14ac:dyDescent="0.3">
      <c r="B13" s="580"/>
      <c r="C13" s="582"/>
      <c r="D13" s="583"/>
      <c r="E13" s="477" t="s">
        <v>110</v>
      </c>
      <c r="F13" s="477" t="s">
        <v>107</v>
      </c>
    </row>
    <row r="14" spans="2:6" ht="35.5" customHeight="1" x14ac:dyDescent="0.3">
      <c r="B14" s="562" t="s">
        <v>340</v>
      </c>
      <c r="C14" s="132" t="s">
        <v>338</v>
      </c>
      <c r="D14" s="607" t="s">
        <v>65</v>
      </c>
      <c r="E14" s="133" t="s">
        <v>67</v>
      </c>
      <c r="F14" s="256">
        <v>504368.49</v>
      </c>
    </row>
    <row r="15" spans="2:6" ht="19.5" customHeight="1" x14ac:dyDescent="0.3">
      <c r="B15" s="563"/>
      <c r="C15" s="562" t="s">
        <v>339</v>
      </c>
      <c r="D15" s="557"/>
      <c r="E15" s="133" t="s">
        <v>71</v>
      </c>
      <c r="F15" s="256">
        <v>116000</v>
      </c>
    </row>
    <row r="16" spans="2:6" ht="21" customHeight="1" x14ac:dyDescent="0.3">
      <c r="B16" s="563"/>
      <c r="C16" s="564"/>
      <c r="D16" s="557"/>
      <c r="E16" s="562" t="s">
        <v>73</v>
      </c>
      <c r="F16" s="692">
        <v>114105</v>
      </c>
    </row>
    <row r="17" spans="2:6" ht="24" x14ac:dyDescent="0.3">
      <c r="B17" s="563"/>
      <c r="C17" s="479" t="s">
        <v>361</v>
      </c>
      <c r="D17" s="557"/>
      <c r="E17" s="563"/>
      <c r="F17" s="693"/>
    </row>
    <row r="18" spans="2:6" ht="12.65" customHeight="1" x14ac:dyDescent="0.3">
      <c r="B18" s="564"/>
      <c r="C18" s="479" t="s">
        <v>245</v>
      </c>
      <c r="D18" s="558"/>
      <c r="E18" s="564"/>
      <c r="F18" s="694"/>
    </row>
    <row r="19" spans="2:6" x14ac:dyDescent="0.2">
      <c r="B19" s="145" t="s">
        <v>183</v>
      </c>
      <c r="C19" s="151"/>
      <c r="D19" s="294"/>
      <c r="E19" s="145"/>
      <c r="F19" s="295">
        <f>SUM(F14:F16)</f>
        <v>734473.49</v>
      </c>
    </row>
    <row r="20" spans="2:6" ht="27.65" customHeight="1" x14ac:dyDescent="0.3">
      <c r="B20" s="562" t="s">
        <v>341</v>
      </c>
      <c r="C20" s="481" t="s">
        <v>342</v>
      </c>
      <c r="D20" s="607" t="s">
        <v>65</v>
      </c>
      <c r="E20" s="133" t="s">
        <v>67</v>
      </c>
      <c r="F20" s="256">
        <f>197081.635-27713</f>
        <v>169368.63500000001</v>
      </c>
    </row>
    <row r="21" spans="2:6" ht="16" customHeight="1" x14ac:dyDescent="0.3">
      <c r="B21" s="563"/>
      <c r="C21" s="691" t="s">
        <v>244</v>
      </c>
      <c r="D21" s="557"/>
      <c r="E21" s="133" t="s">
        <v>71</v>
      </c>
      <c r="F21" s="256">
        <v>21000</v>
      </c>
    </row>
    <row r="22" spans="2:6" ht="16" customHeight="1" x14ac:dyDescent="0.3">
      <c r="B22" s="563"/>
      <c r="C22" s="691"/>
      <c r="D22" s="558"/>
      <c r="E22" s="480" t="s">
        <v>73</v>
      </c>
      <c r="F22" s="256">
        <v>39104.83</v>
      </c>
    </row>
    <row r="23" spans="2:6" x14ac:dyDescent="0.3">
      <c r="B23" s="145" t="s">
        <v>183</v>
      </c>
      <c r="C23" s="151"/>
      <c r="D23" s="294"/>
      <c r="E23" s="145"/>
      <c r="F23" s="295">
        <f>SUM(F20:F22)</f>
        <v>229473.46500000003</v>
      </c>
    </row>
    <row r="24" spans="2:6" x14ac:dyDescent="0.3">
      <c r="B24" s="145" t="s">
        <v>256</v>
      </c>
      <c r="C24" s="151"/>
      <c r="D24" s="294"/>
      <c r="E24" s="145"/>
      <c r="F24" s="295">
        <f>F23+F19</f>
        <v>963946.95500000007</v>
      </c>
    </row>
    <row r="25" spans="2:6" x14ac:dyDescent="0.3">
      <c r="B25" s="194" t="s">
        <v>79</v>
      </c>
      <c r="C25" s="187"/>
      <c r="D25" s="187"/>
      <c r="E25" s="187"/>
      <c r="F25" s="189">
        <f>F24+F10</f>
        <v>1038946.9550000001</v>
      </c>
    </row>
    <row r="26" spans="2:6" x14ac:dyDescent="0.3">
      <c r="B26" s="191" t="s">
        <v>264</v>
      </c>
      <c r="C26" s="191"/>
      <c r="D26" s="191"/>
      <c r="E26" s="191"/>
      <c r="F26" s="193">
        <f>0.07*F25</f>
        <v>72726.286850000019</v>
      </c>
    </row>
    <row r="27" spans="2:6" x14ac:dyDescent="0.3">
      <c r="B27" s="194" t="s">
        <v>77</v>
      </c>
      <c r="C27" s="187"/>
      <c r="D27" s="187"/>
      <c r="E27" s="187"/>
      <c r="F27" s="189">
        <f>SUM(F25:F26)</f>
        <v>1111673.2418500001</v>
      </c>
    </row>
    <row r="29" spans="2:6" x14ac:dyDescent="0.3">
      <c r="B29" s="491" t="s">
        <v>343</v>
      </c>
    </row>
    <row r="31" spans="2:6" x14ac:dyDescent="0.3">
      <c r="B31" s="195" t="s">
        <v>108</v>
      </c>
      <c r="C31" s="298" t="s">
        <v>2</v>
      </c>
      <c r="D31" s="298" t="s">
        <v>65</v>
      </c>
      <c r="E31" s="298" t="s">
        <v>66</v>
      </c>
      <c r="F31" s="298" t="s">
        <v>61</v>
      </c>
    </row>
    <row r="32" spans="2:6" x14ac:dyDescent="0.3">
      <c r="B32" s="141" t="s">
        <v>67</v>
      </c>
      <c r="C32" s="197">
        <f>F7</f>
        <v>60000</v>
      </c>
      <c r="D32" s="198">
        <f>F14+F20</f>
        <v>673737.125</v>
      </c>
      <c r="E32" s="232"/>
      <c r="F32" s="200">
        <f t="shared" ref="F32:F37" si="0">SUM(C32:E32)</f>
        <v>733737.125</v>
      </c>
    </row>
    <row r="33" spans="2:6" x14ac:dyDescent="0.3">
      <c r="B33" s="141" t="s">
        <v>71</v>
      </c>
      <c r="C33" s="197">
        <f>F8</f>
        <v>15000</v>
      </c>
      <c r="D33" s="198">
        <f>F15+F21</f>
        <v>137000</v>
      </c>
      <c r="E33" s="232"/>
      <c r="F33" s="200">
        <f t="shared" si="0"/>
        <v>152000</v>
      </c>
    </row>
    <row r="34" spans="2:6" ht="24" x14ac:dyDescent="0.3">
      <c r="B34" s="142" t="s">
        <v>73</v>
      </c>
      <c r="C34" s="197">
        <f>F9</f>
        <v>0</v>
      </c>
      <c r="D34" s="198">
        <f>F16+F22</f>
        <v>153209.83000000002</v>
      </c>
      <c r="E34" s="232"/>
      <c r="F34" s="200">
        <f t="shared" si="0"/>
        <v>153209.83000000002</v>
      </c>
    </row>
    <row r="35" spans="2:6" x14ac:dyDescent="0.3">
      <c r="B35" s="201" t="s">
        <v>79</v>
      </c>
      <c r="C35" s="202">
        <f>SUM(C32:C34)</f>
        <v>75000</v>
      </c>
      <c r="D35" s="233">
        <f>SUM(D32:D34)</f>
        <v>963946.95500000007</v>
      </c>
      <c r="E35" s="202"/>
      <c r="F35" s="202">
        <f t="shared" si="0"/>
        <v>1038946.9550000001</v>
      </c>
    </row>
    <row r="36" spans="2:6" x14ac:dyDescent="0.3">
      <c r="B36" s="191" t="s">
        <v>109</v>
      </c>
      <c r="C36" s="197">
        <f>0.07*C35</f>
        <v>5250.0000000000009</v>
      </c>
      <c r="D36" s="198">
        <f>0.07*D35</f>
        <v>67476.286850000019</v>
      </c>
      <c r="E36" s="232"/>
      <c r="F36" s="200">
        <f t="shared" si="0"/>
        <v>72726.286850000019</v>
      </c>
    </row>
    <row r="37" spans="2:6" x14ac:dyDescent="0.3">
      <c r="B37" s="210" t="s">
        <v>1</v>
      </c>
      <c r="C37" s="221">
        <f>SUM(C35:C36)</f>
        <v>80250</v>
      </c>
      <c r="D37" s="198">
        <f>SUM(D35:D36)</f>
        <v>1031423.2418500001</v>
      </c>
      <c r="E37" s="223"/>
      <c r="F37" s="200">
        <f t="shared" si="0"/>
        <v>1111673.2418500001</v>
      </c>
    </row>
    <row r="39" spans="2:6" ht="0.75" customHeight="1" x14ac:dyDescent="0.3">
      <c r="B39" s="226" t="s">
        <v>58</v>
      </c>
    </row>
    <row r="40" spans="2:6" hidden="1" x14ac:dyDescent="0.3">
      <c r="B40" s="195" t="s">
        <v>56</v>
      </c>
      <c r="C40" s="195" t="s">
        <v>65</v>
      </c>
      <c r="E40" s="208"/>
    </row>
    <row r="41" spans="2:6" hidden="1" x14ac:dyDescent="0.3">
      <c r="B41" s="141" t="s">
        <v>32</v>
      </c>
      <c r="C41" s="193">
        <f>D32</f>
        <v>673737.125</v>
      </c>
      <c r="E41" s="299"/>
    </row>
    <row r="42" spans="2:6" hidden="1" x14ac:dyDescent="0.3">
      <c r="B42" s="141" t="s">
        <v>36</v>
      </c>
      <c r="C42" s="193">
        <f>D33</f>
        <v>137000</v>
      </c>
      <c r="E42" s="299"/>
    </row>
    <row r="43" spans="2:6" hidden="1" x14ac:dyDescent="0.3">
      <c r="B43" s="142" t="s">
        <v>37</v>
      </c>
      <c r="C43" s="193">
        <f>D34</f>
        <v>153209.83000000002</v>
      </c>
      <c r="E43" s="299"/>
    </row>
    <row r="44" spans="2:6" hidden="1" x14ac:dyDescent="0.3">
      <c r="B44" s="191" t="s">
        <v>26</v>
      </c>
      <c r="C44" s="200">
        <f>SUM(C41:C43)</f>
        <v>963946.95500000007</v>
      </c>
      <c r="E44" s="299"/>
    </row>
    <row r="45" spans="2:6" hidden="1" x14ac:dyDescent="0.3">
      <c r="B45" s="191" t="s">
        <v>57</v>
      </c>
      <c r="C45" s="193">
        <f>0.07*C44</f>
        <v>67476.286850000019</v>
      </c>
      <c r="E45" s="300"/>
    </row>
    <row r="46" spans="2:6" hidden="1" x14ac:dyDescent="0.3">
      <c r="B46" s="210" t="s">
        <v>1</v>
      </c>
      <c r="C46" s="211">
        <f>SUM(C44:C45)</f>
        <v>1031423.2418500001</v>
      </c>
      <c r="E46" s="301"/>
    </row>
    <row r="48" spans="2:6" ht="24.5" thickBot="1" x14ac:dyDescent="0.35">
      <c r="B48" s="213" t="s">
        <v>274</v>
      </c>
      <c r="C48" s="252" t="e">
        <f>'[7]2019 Comparison'!F22</f>
        <v>#REF!</v>
      </c>
      <c r="D48" s="252" t="e">
        <f>'[7]2019 Comparison'!G22</f>
        <v>#REF!</v>
      </c>
      <c r="E48" s="252" t="e">
        <f>'[7]2019 Comparison'!H22</f>
        <v>#REF!</v>
      </c>
      <c r="F48" s="252">
        <f>'[8]2019 Comparison'!I22</f>
        <v>648600</v>
      </c>
    </row>
    <row r="49" spans="2:6" ht="12.5" thickTop="1" x14ac:dyDescent="0.3"/>
    <row r="50" spans="2:6" x14ac:dyDescent="0.3">
      <c r="B50" s="576" t="s">
        <v>255</v>
      </c>
      <c r="C50" s="577"/>
      <c r="D50" s="577"/>
      <c r="E50" s="577"/>
      <c r="F50" s="578"/>
    </row>
    <row r="51" spans="2:6" x14ac:dyDescent="0.3">
      <c r="B51" s="216" t="s">
        <v>110</v>
      </c>
      <c r="C51" s="217" t="s">
        <v>60</v>
      </c>
      <c r="D51" s="218" t="s">
        <v>2</v>
      </c>
      <c r="E51" s="237" t="s">
        <v>3</v>
      </c>
      <c r="F51" s="218" t="s">
        <v>66</v>
      </c>
    </row>
    <row r="52" spans="2:6" x14ac:dyDescent="0.3">
      <c r="B52" s="141" t="s">
        <v>67</v>
      </c>
      <c r="C52" s="220">
        <f>D52+E52+F52</f>
        <v>60000</v>
      </c>
      <c r="D52" s="197">
        <f>C32</f>
        <v>60000</v>
      </c>
      <c r="E52" s="198"/>
      <c r="F52" s="232"/>
    </row>
    <row r="53" spans="2:6" x14ac:dyDescent="0.3">
      <c r="B53" s="261" t="s">
        <v>68</v>
      </c>
      <c r="C53" s="220">
        <f t="shared" ref="C53:C58" si="1">D53+E53+F53</f>
        <v>0</v>
      </c>
      <c r="D53" s="197"/>
      <c r="E53" s="198"/>
      <c r="F53" s="232"/>
    </row>
    <row r="54" spans="2:6" ht="24" x14ac:dyDescent="0.3">
      <c r="B54" s="264" t="s">
        <v>69</v>
      </c>
      <c r="C54" s="220">
        <f t="shared" si="1"/>
        <v>0</v>
      </c>
      <c r="D54" s="197"/>
      <c r="E54" s="198"/>
      <c r="F54" s="232"/>
    </row>
    <row r="55" spans="2:6" x14ac:dyDescent="0.3">
      <c r="B55" s="261" t="s">
        <v>70</v>
      </c>
      <c r="C55" s="220">
        <f t="shared" si="1"/>
        <v>0</v>
      </c>
      <c r="D55" s="197"/>
      <c r="E55" s="198"/>
      <c r="F55" s="232"/>
    </row>
    <row r="56" spans="2:6" x14ac:dyDescent="0.3">
      <c r="B56" s="191" t="s">
        <v>71</v>
      </c>
      <c r="C56" s="220">
        <f t="shared" si="1"/>
        <v>15000</v>
      </c>
      <c r="D56" s="197">
        <f>C33</f>
        <v>15000</v>
      </c>
      <c r="E56" s="198"/>
      <c r="F56" s="232"/>
    </row>
    <row r="57" spans="2:6" x14ac:dyDescent="0.3">
      <c r="B57" s="264" t="s">
        <v>72</v>
      </c>
      <c r="C57" s="220">
        <f t="shared" si="1"/>
        <v>0</v>
      </c>
      <c r="D57" s="197"/>
      <c r="E57" s="198"/>
      <c r="F57" s="232"/>
    </row>
    <row r="58" spans="2:6" ht="24" x14ac:dyDescent="0.3">
      <c r="B58" s="192" t="s">
        <v>73</v>
      </c>
      <c r="C58" s="220">
        <f t="shared" si="1"/>
        <v>0</v>
      </c>
      <c r="D58" s="197"/>
      <c r="E58" s="198"/>
      <c r="F58" s="232"/>
    </row>
    <row r="59" spans="2:6" x14ac:dyDescent="0.3">
      <c r="B59" s="140" t="s">
        <v>183</v>
      </c>
      <c r="C59" s="224">
        <f>SUM(C52:C58)</f>
        <v>75000</v>
      </c>
      <c r="D59" s="224">
        <f>SUM(D52:D58)</f>
        <v>75000</v>
      </c>
      <c r="E59" s="224">
        <f>SUM(E52:E58)</f>
        <v>0</v>
      </c>
      <c r="F59" s="224">
        <f>SUM(F52:F58)</f>
        <v>0</v>
      </c>
    </row>
    <row r="61" spans="2:6" ht="30" customHeight="1" x14ac:dyDescent="0.3">
      <c r="B61" s="576" t="s">
        <v>143</v>
      </c>
      <c r="C61" s="577"/>
      <c r="D61" s="577"/>
      <c r="E61" s="577"/>
      <c r="F61" s="578"/>
    </row>
    <row r="62" spans="2:6" x14ac:dyDescent="0.3">
      <c r="B62" s="216" t="s">
        <v>110</v>
      </c>
      <c r="C62" s="217" t="s">
        <v>60</v>
      </c>
      <c r="D62" s="218" t="s">
        <v>2</v>
      </c>
      <c r="E62" s="237" t="s">
        <v>3</v>
      </c>
      <c r="F62" s="218" t="s">
        <v>66</v>
      </c>
    </row>
    <row r="63" spans="2:6" x14ac:dyDescent="0.3">
      <c r="B63" s="141" t="s">
        <v>67</v>
      </c>
      <c r="C63" s="220">
        <f>D63+E63+F63</f>
        <v>673737.125</v>
      </c>
      <c r="D63" s="197"/>
      <c r="E63" s="198">
        <f>D32</f>
        <v>673737.125</v>
      </c>
      <c r="F63" s="232"/>
    </row>
    <row r="64" spans="2:6" x14ac:dyDescent="0.3">
      <c r="B64" s="261" t="s">
        <v>68</v>
      </c>
      <c r="C64" s="220">
        <f t="shared" ref="C64:C69" si="2">D64+E64+F64</f>
        <v>0</v>
      </c>
      <c r="D64" s="197"/>
      <c r="E64" s="198"/>
      <c r="F64" s="232"/>
    </row>
    <row r="65" spans="2:6" ht="24" x14ac:dyDescent="0.3">
      <c r="B65" s="264" t="s">
        <v>69</v>
      </c>
      <c r="C65" s="220">
        <f t="shared" si="2"/>
        <v>0</v>
      </c>
      <c r="D65" s="197"/>
      <c r="E65" s="198"/>
      <c r="F65" s="232"/>
    </row>
    <row r="66" spans="2:6" x14ac:dyDescent="0.3">
      <c r="B66" s="261" t="s">
        <v>70</v>
      </c>
      <c r="C66" s="220">
        <f t="shared" si="2"/>
        <v>0</v>
      </c>
      <c r="D66" s="197"/>
      <c r="E66" s="198"/>
      <c r="F66" s="232"/>
    </row>
    <row r="67" spans="2:6" x14ac:dyDescent="0.3">
      <c r="B67" s="191" t="s">
        <v>71</v>
      </c>
      <c r="C67" s="220">
        <f t="shared" si="2"/>
        <v>137000</v>
      </c>
      <c r="D67" s="197"/>
      <c r="E67" s="198">
        <f>D33</f>
        <v>137000</v>
      </c>
      <c r="F67" s="232"/>
    </row>
    <row r="68" spans="2:6" x14ac:dyDescent="0.3">
      <c r="B68" s="264" t="s">
        <v>72</v>
      </c>
      <c r="C68" s="220">
        <f t="shared" si="2"/>
        <v>0</v>
      </c>
      <c r="D68" s="197"/>
      <c r="E68" s="198"/>
      <c r="F68" s="232"/>
    </row>
    <row r="69" spans="2:6" ht="24" x14ac:dyDescent="0.3">
      <c r="B69" s="192" t="s">
        <v>73</v>
      </c>
      <c r="C69" s="220">
        <f t="shared" si="2"/>
        <v>153209.83000000002</v>
      </c>
      <c r="D69" s="197"/>
      <c r="E69" s="198">
        <f>D34</f>
        <v>153209.83000000002</v>
      </c>
      <c r="F69" s="232"/>
    </row>
    <row r="70" spans="2:6" x14ac:dyDescent="0.3">
      <c r="B70" s="140" t="s">
        <v>183</v>
      </c>
      <c r="C70" s="224">
        <f>SUM(C63:C69)</f>
        <v>963946.95500000007</v>
      </c>
      <c r="D70" s="224">
        <f>SUM(D63:D69)</f>
        <v>0</v>
      </c>
      <c r="E70" s="224">
        <f>SUM(E63:E69)</f>
        <v>963946.95500000007</v>
      </c>
      <c r="F70" s="224">
        <f>SUM(F63:F69)</f>
        <v>0</v>
      </c>
    </row>
  </sheetData>
  <mergeCells count="24">
    <mergeCell ref="B3:F3"/>
    <mergeCell ref="B4:F4"/>
    <mergeCell ref="B5:B6"/>
    <mergeCell ref="C5:C6"/>
    <mergeCell ref="D5:D6"/>
    <mergeCell ref="E5:F5"/>
    <mergeCell ref="B7:B9"/>
    <mergeCell ref="D7:D9"/>
    <mergeCell ref="C8:C9"/>
    <mergeCell ref="B11:F11"/>
    <mergeCell ref="B12:B13"/>
    <mergeCell ref="C12:C13"/>
    <mergeCell ref="D12:D13"/>
    <mergeCell ref="E12:F12"/>
    <mergeCell ref="B50:F50"/>
    <mergeCell ref="B61:F61"/>
    <mergeCell ref="C15:C16"/>
    <mergeCell ref="B20:B22"/>
    <mergeCell ref="D20:D22"/>
    <mergeCell ref="C21:C22"/>
    <mergeCell ref="B14:B18"/>
    <mergeCell ref="D14:D18"/>
    <mergeCell ref="E16:E18"/>
    <mergeCell ref="F16:F18"/>
  </mergeCells>
  <pageMargins left="0.70866141732283472" right="0.70866141732283472" top="0.74803149606299213" bottom="0.74803149606299213" header="0.31496062992125984" footer="0.31496062992125984"/>
  <pageSetup paperSize="9" scale="80" orientation="landscape" horizontalDpi="300" verticalDpi="300" r:id="rId1"/>
  <rowBreaks count="1" manualBreakCount="1">
    <brk id="3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F53"/>
  <sheetViews>
    <sheetView showGridLines="0" topLeftCell="A10" zoomScale="90" zoomScaleNormal="90" workbookViewId="0">
      <selection activeCell="C12" sqref="C12"/>
    </sheetView>
  </sheetViews>
  <sheetFormatPr defaultColWidth="9.1796875" defaultRowHeight="12" x14ac:dyDescent="0.3"/>
  <cols>
    <col min="1" max="1" width="0.81640625" style="177" customWidth="1"/>
    <col min="2" max="2" width="36.7265625" style="206" customWidth="1"/>
    <col min="3" max="3" width="59" style="206" customWidth="1"/>
    <col min="4" max="4" width="10.54296875" style="206" customWidth="1"/>
    <col min="5" max="5" width="25.26953125" style="206" customWidth="1"/>
    <col min="6" max="6" width="23.1796875" style="206" customWidth="1"/>
    <col min="7" max="16384" width="9.1796875" style="177"/>
  </cols>
  <sheetData>
    <row r="3" spans="2:6" x14ac:dyDescent="0.3">
      <c r="B3" s="137" t="s">
        <v>344</v>
      </c>
      <c r="C3" s="137"/>
      <c r="D3" s="137"/>
      <c r="E3" s="137"/>
      <c r="F3" s="138"/>
    </row>
    <row r="4" spans="2:6" ht="28.5" customHeight="1" x14ac:dyDescent="0.3">
      <c r="B4" s="576" t="s">
        <v>345</v>
      </c>
      <c r="C4" s="577"/>
      <c r="D4" s="577"/>
      <c r="E4" s="577"/>
      <c r="F4" s="578"/>
    </row>
    <row r="5" spans="2:6" ht="17.25" customHeight="1" x14ac:dyDescent="0.3">
      <c r="B5" s="579" t="s">
        <v>102</v>
      </c>
      <c r="C5" s="581" t="s">
        <v>103</v>
      </c>
      <c r="D5" s="583" t="s">
        <v>104</v>
      </c>
      <c r="E5" s="662" t="s">
        <v>105</v>
      </c>
      <c r="F5" s="663"/>
    </row>
    <row r="6" spans="2:6" x14ac:dyDescent="0.3">
      <c r="B6" s="580"/>
      <c r="C6" s="582"/>
      <c r="D6" s="583"/>
      <c r="E6" s="477" t="s">
        <v>110</v>
      </c>
      <c r="F6" s="477" t="s">
        <v>107</v>
      </c>
    </row>
    <row r="7" spans="2:6" ht="37" customHeight="1" x14ac:dyDescent="0.3">
      <c r="B7" s="697" t="s">
        <v>346</v>
      </c>
      <c r="C7" s="132" t="s">
        <v>347</v>
      </c>
      <c r="D7" s="607" t="s">
        <v>65</v>
      </c>
      <c r="E7" s="133" t="s">
        <v>67</v>
      </c>
      <c r="F7" s="256">
        <v>598828</v>
      </c>
    </row>
    <row r="8" spans="2:6" ht="64.5" customHeight="1" x14ac:dyDescent="0.3">
      <c r="B8" s="698"/>
      <c r="C8" s="132" t="s">
        <v>348</v>
      </c>
      <c r="D8" s="557"/>
      <c r="E8" s="133" t="s">
        <v>71</v>
      </c>
      <c r="F8" s="256">
        <v>71000</v>
      </c>
    </row>
    <row r="9" spans="2:6" ht="26.15" customHeight="1" x14ac:dyDescent="0.3">
      <c r="B9" s="698"/>
      <c r="C9" s="132" t="s">
        <v>246</v>
      </c>
      <c r="D9" s="557"/>
      <c r="E9" s="562" t="s">
        <v>73</v>
      </c>
      <c r="F9" s="692">
        <v>77882</v>
      </c>
    </row>
    <row r="10" spans="2:6" ht="54.65" customHeight="1" x14ac:dyDescent="0.3">
      <c r="B10" s="698"/>
      <c r="C10" s="132" t="s">
        <v>349</v>
      </c>
      <c r="D10" s="557"/>
      <c r="E10" s="563"/>
      <c r="F10" s="693"/>
    </row>
    <row r="11" spans="2:6" x14ac:dyDescent="0.3">
      <c r="B11" s="698"/>
      <c r="C11" s="132" t="s">
        <v>247</v>
      </c>
      <c r="D11" s="557"/>
      <c r="E11" s="563"/>
      <c r="F11" s="693"/>
    </row>
    <row r="12" spans="2:6" x14ac:dyDescent="0.3">
      <c r="B12" s="699"/>
      <c r="C12" s="132" t="s">
        <v>350</v>
      </c>
      <c r="D12" s="558"/>
      <c r="E12" s="564"/>
      <c r="F12" s="694"/>
    </row>
    <row r="13" spans="2:6" x14ac:dyDescent="0.2">
      <c r="B13" s="194" t="s">
        <v>79</v>
      </c>
      <c r="C13" s="187"/>
      <c r="D13" s="187"/>
      <c r="E13" s="187"/>
      <c r="F13" s="302">
        <f>SUM(F7:F12)</f>
        <v>747710</v>
      </c>
    </row>
    <row r="14" spans="2:6" x14ac:dyDescent="0.2">
      <c r="B14" s="191" t="s">
        <v>264</v>
      </c>
      <c r="C14" s="191"/>
      <c r="D14" s="191"/>
      <c r="E14" s="191"/>
      <c r="F14" s="200">
        <f>0.07*F13</f>
        <v>52339.700000000004</v>
      </c>
    </row>
    <row r="15" spans="2:6" x14ac:dyDescent="0.2">
      <c r="B15" s="194" t="s">
        <v>77</v>
      </c>
      <c r="C15" s="187"/>
      <c r="D15" s="187"/>
      <c r="E15" s="187"/>
      <c r="F15" s="302">
        <f>SUM(F13:F14)</f>
        <v>800049.7</v>
      </c>
    </row>
    <row r="17" spans="2:6" x14ac:dyDescent="0.2">
      <c r="B17" s="491" t="s">
        <v>351</v>
      </c>
    </row>
    <row r="18" spans="2:6" x14ac:dyDescent="0.2">
      <c r="B18" s="489"/>
    </row>
    <row r="19" spans="2:6" ht="24.5" thickBot="1" x14ac:dyDescent="0.35">
      <c r="B19" s="213" t="s">
        <v>274</v>
      </c>
      <c r="C19" s="214"/>
      <c r="D19" s="214"/>
      <c r="E19" s="214"/>
      <c r="F19" s="214">
        <f>430200</f>
        <v>430200</v>
      </c>
    </row>
    <row r="20" spans="2:6" ht="12.75" thickTop="1" x14ac:dyDescent="0.2"/>
    <row r="21" spans="2:6" ht="22.5" customHeight="1" x14ac:dyDescent="0.2">
      <c r="B21" s="696"/>
      <c r="C21" s="696"/>
      <c r="D21" s="696"/>
      <c r="E21" s="696"/>
      <c r="F21" s="696"/>
    </row>
    <row r="22" spans="2:6" x14ac:dyDescent="0.2">
      <c r="B22" s="195" t="s">
        <v>108</v>
      </c>
      <c r="C22" s="298" t="s">
        <v>2</v>
      </c>
      <c r="D22" s="298" t="s">
        <v>65</v>
      </c>
      <c r="E22" s="298" t="s">
        <v>66</v>
      </c>
      <c r="F22" s="298" t="s">
        <v>61</v>
      </c>
    </row>
    <row r="23" spans="2:6" x14ac:dyDescent="0.2">
      <c r="B23" s="141" t="s">
        <v>67</v>
      </c>
      <c r="C23" s="197">
        <v>0</v>
      </c>
      <c r="D23" s="198">
        <f>F7</f>
        <v>598828</v>
      </c>
      <c r="E23" s="232"/>
      <c r="F23" s="200">
        <f t="shared" ref="F23:F28" si="0">SUM(C23:E23)</f>
        <v>598828</v>
      </c>
    </row>
    <row r="24" spans="2:6" x14ac:dyDescent="0.2">
      <c r="B24" s="141" t="s">
        <v>71</v>
      </c>
      <c r="C24" s="197">
        <v>0</v>
      </c>
      <c r="D24" s="198">
        <f>F8</f>
        <v>71000</v>
      </c>
      <c r="E24" s="232"/>
      <c r="F24" s="200">
        <f t="shared" si="0"/>
        <v>71000</v>
      </c>
    </row>
    <row r="25" spans="2:6" ht="24" x14ac:dyDescent="0.2">
      <c r="B25" s="142" t="s">
        <v>73</v>
      </c>
      <c r="C25" s="197">
        <v>0</v>
      </c>
      <c r="D25" s="198">
        <f>F9</f>
        <v>77882</v>
      </c>
      <c r="E25" s="232"/>
      <c r="F25" s="200">
        <f t="shared" si="0"/>
        <v>77882</v>
      </c>
    </row>
    <row r="26" spans="2:6" x14ac:dyDescent="0.2">
      <c r="B26" s="201" t="s">
        <v>79</v>
      </c>
      <c r="C26" s="202">
        <v>0</v>
      </c>
      <c r="D26" s="233">
        <f>SUM(D23:D25)</f>
        <v>747710</v>
      </c>
      <c r="E26" s="202"/>
      <c r="F26" s="202">
        <f t="shared" si="0"/>
        <v>747710</v>
      </c>
    </row>
    <row r="27" spans="2:6" x14ac:dyDescent="0.2">
      <c r="B27" s="191" t="s">
        <v>109</v>
      </c>
      <c r="C27" s="197">
        <v>0</v>
      </c>
      <c r="D27" s="198">
        <f>D26*0.07</f>
        <v>52339.700000000004</v>
      </c>
      <c r="E27" s="232"/>
      <c r="F27" s="200">
        <f t="shared" si="0"/>
        <v>52339.700000000004</v>
      </c>
    </row>
    <row r="28" spans="2:6" x14ac:dyDescent="0.2">
      <c r="B28" s="210" t="s">
        <v>1</v>
      </c>
      <c r="C28" s="273">
        <v>0</v>
      </c>
      <c r="D28" s="455">
        <f>D27+D26</f>
        <v>800049.7</v>
      </c>
      <c r="E28" s="470"/>
      <c r="F28" s="211">
        <f t="shared" si="0"/>
        <v>800049.7</v>
      </c>
    </row>
    <row r="31" spans="2:6" ht="12.5" thickBot="1" x14ac:dyDescent="0.35">
      <c r="B31" s="252" t="s">
        <v>352</v>
      </c>
      <c r="C31" s="252">
        <f>'[8]2019 Comparison'!F23</f>
        <v>0</v>
      </c>
      <c r="D31" s="252">
        <f>'[8]2019 Comparison'!G23</f>
        <v>430200</v>
      </c>
      <c r="E31" s="252">
        <f>'[8]2019 Comparison'!H23</f>
        <v>0</v>
      </c>
      <c r="F31" s="252">
        <f>'[8]2019 Comparison'!I23</f>
        <v>430200</v>
      </c>
    </row>
    <row r="32" spans="2:6" ht="12.75" thickTop="1" x14ac:dyDescent="0.2"/>
    <row r="33" spans="2:6" x14ac:dyDescent="0.3">
      <c r="B33" s="576" t="s">
        <v>255</v>
      </c>
      <c r="C33" s="577"/>
      <c r="D33" s="577"/>
      <c r="E33" s="577"/>
      <c r="F33" s="578"/>
    </row>
    <row r="34" spans="2:6" x14ac:dyDescent="0.3">
      <c r="B34" s="216" t="s">
        <v>110</v>
      </c>
      <c r="C34" s="217" t="s">
        <v>60</v>
      </c>
      <c r="D34" s="218" t="s">
        <v>2</v>
      </c>
      <c r="E34" s="237" t="s">
        <v>3</v>
      </c>
      <c r="F34" s="218" t="s">
        <v>66</v>
      </c>
    </row>
    <row r="35" spans="2:6" x14ac:dyDescent="0.3">
      <c r="B35" s="141" t="s">
        <v>67</v>
      </c>
      <c r="C35" s="220">
        <f>D35+E35+F35</f>
        <v>0</v>
      </c>
      <c r="D35" s="197"/>
      <c r="E35" s="198"/>
      <c r="F35" s="232"/>
    </row>
    <row r="36" spans="2:6" x14ac:dyDescent="0.3">
      <c r="B36" s="261" t="s">
        <v>68</v>
      </c>
      <c r="C36" s="220">
        <f t="shared" ref="C36:C41" si="1">D36+E36+F36</f>
        <v>0</v>
      </c>
      <c r="D36" s="197"/>
      <c r="E36" s="198"/>
      <c r="F36" s="232"/>
    </row>
    <row r="37" spans="2:6" ht="24" x14ac:dyDescent="0.3">
      <c r="B37" s="264" t="s">
        <v>69</v>
      </c>
      <c r="C37" s="220">
        <f t="shared" si="1"/>
        <v>0</v>
      </c>
      <c r="D37" s="197"/>
      <c r="E37" s="198"/>
      <c r="F37" s="232"/>
    </row>
    <row r="38" spans="2:6" x14ac:dyDescent="0.3">
      <c r="B38" s="261" t="s">
        <v>70</v>
      </c>
      <c r="C38" s="220">
        <f t="shared" si="1"/>
        <v>0</v>
      </c>
      <c r="D38" s="197"/>
      <c r="E38" s="198"/>
      <c r="F38" s="232"/>
    </row>
    <row r="39" spans="2:6" x14ac:dyDescent="0.3">
      <c r="B39" s="191" t="s">
        <v>71</v>
      </c>
      <c r="C39" s="220">
        <f t="shared" si="1"/>
        <v>0</v>
      </c>
      <c r="D39" s="197"/>
      <c r="E39" s="198"/>
      <c r="F39" s="232"/>
    </row>
    <row r="40" spans="2:6" x14ac:dyDescent="0.3">
      <c r="B40" s="264" t="s">
        <v>72</v>
      </c>
      <c r="C40" s="220">
        <f t="shared" si="1"/>
        <v>0</v>
      </c>
      <c r="D40" s="197"/>
      <c r="E40" s="198"/>
      <c r="F40" s="232"/>
    </row>
    <row r="41" spans="2:6" ht="24" x14ac:dyDescent="0.3">
      <c r="B41" s="192" t="s">
        <v>73</v>
      </c>
      <c r="C41" s="220">
        <f t="shared" si="1"/>
        <v>0</v>
      </c>
      <c r="D41" s="197"/>
      <c r="E41" s="198"/>
      <c r="F41" s="232"/>
    </row>
    <row r="42" spans="2:6" x14ac:dyDescent="0.3">
      <c r="B42" s="140" t="s">
        <v>183</v>
      </c>
      <c r="C42" s="224">
        <f>SUM(C35:C41)</f>
        <v>0</v>
      </c>
      <c r="D42" s="224">
        <f>SUM(D35:D41)</f>
        <v>0</v>
      </c>
      <c r="E42" s="224">
        <f>SUM(E35:E41)</f>
        <v>0</v>
      </c>
      <c r="F42" s="224">
        <f>SUM(F35:F41)</f>
        <v>0</v>
      </c>
    </row>
    <row r="44" spans="2:6" ht="31.5" customHeight="1" x14ac:dyDescent="0.3">
      <c r="B44" s="576" t="s">
        <v>143</v>
      </c>
      <c r="C44" s="577"/>
      <c r="D44" s="577"/>
      <c r="E44" s="577"/>
      <c r="F44" s="578"/>
    </row>
    <row r="45" spans="2:6" x14ac:dyDescent="0.3">
      <c r="B45" s="216" t="s">
        <v>110</v>
      </c>
      <c r="C45" s="217" t="s">
        <v>60</v>
      </c>
      <c r="D45" s="218" t="s">
        <v>2</v>
      </c>
      <c r="E45" s="237" t="s">
        <v>3</v>
      </c>
      <c r="F45" s="218" t="s">
        <v>66</v>
      </c>
    </row>
    <row r="46" spans="2:6" x14ac:dyDescent="0.3">
      <c r="B46" s="141" t="s">
        <v>67</v>
      </c>
      <c r="C46" s="220">
        <f>D46+E46+F46</f>
        <v>598828</v>
      </c>
      <c r="D46" s="197"/>
      <c r="E46" s="198">
        <f>D23</f>
        <v>598828</v>
      </c>
      <c r="F46" s="232"/>
    </row>
    <row r="47" spans="2:6" x14ac:dyDescent="0.3">
      <c r="B47" s="261" t="s">
        <v>68</v>
      </c>
      <c r="C47" s="220">
        <f t="shared" ref="C47:C52" si="2">D47+E47+F47</f>
        <v>0</v>
      </c>
      <c r="D47" s="197"/>
      <c r="E47" s="198"/>
      <c r="F47" s="232"/>
    </row>
    <row r="48" spans="2:6" ht="24" x14ac:dyDescent="0.3">
      <c r="B48" s="264" t="s">
        <v>69</v>
      </c>
      <c r="C48" s="220">
        <f t="shared" si="2"/>
        <v>0</v>
      </c>
      <c r="D48" s="197"/>
      <c r="E48" s="198"/>
      <c r="F48" s="232"/>
    </row>
    <row r="49" spans="2:6" x14ac:dyDescent="0.3">
      <c r="B49" s="261" t="s">
        <v>70</v>
      </c>
      <c r="C49" s="220">
        <f t="shared" si="2"/>
        <v>0</v>
      </c>
      <c r="D49" s="197"/>
      <c r="E49" s="198"/>
      <c r="F49" s="232"/>
    </row>
    <row r="50" spans="2:6" x14ac:dyDescent="0.3">
      <c r="B50" s="191" t="s">
        <v>71</v>
      </c>
      <c r="C50" s="220">
        <f t="shared" si="2"/>
        <v>71000</v>
      </c>
      <c r="D50" s="197"/>
      <c r="E50" s="198">
        <f>D24</f>
        <v>71000</v>
      </c>
      <c r="F50" s="232"/>
    </row>
    <row r="51" spans="2:6" x14ac:dyDescent="0.3">
      <c r="B51" s="264" t="s">
        <v>72</v>
      </c>
      <c r="C51" s="220">
        <f t="shared" si="2"/>
        <v>0</v>
      </c>
      <c r="D51" s="197"/>
      <c r="E51" s="198"/>
      <c r="F51" s="232"/>
    </row>
    <row r="52" spans="2:6" ht="24" x14ac:dyDescent="0.3">
      <c r="B52" s="192" t="s">
        <v>73</v>
      </c>
      <c r="C52" s="220">
        <f t="shared" si="2"/>
        <v>77882</v>
      </c>
      <c r="D52" s="197"/>
      <c r="E52" s="198">
        <f>D25</f>
        <v>77882</v>
      </c>
      <c r="F52" s="232"/>
    </row>
    <row r="53" spans="2:6" x14ac:dyDescent="0.3">
      <c r="B53" s="140" t="s">
        <v>183</v>
      </c>
      <c r="C53" s="224">
        <f>SUM(C46:C52)</f>
        <v>747710</v>
      </c>
      <c r="D53" s="224">
        <f>SUM(D46:D52)</f>
        <v>0</v>
      </c>
      <c r="E53" s="224">
        <f>SUM(E46:E52)</f>
        <v>747710</v>
      </c>
      <c r="F53" s="224">
        <f>SUM(F46:F52)</f>
        <v>0</v>
      </c>
    </row>
  </sheetData>
  <mergeCells count="12">
    <mergeCell ref="B21:F21"/>
    <mergeCell ref="B33:F33"/>
    <mergeCell ref="B44:F44"/>
    <mergeCell ref="B7:B12"/>
    <mergeCell ref="D7:D12"/>
    <mergeCell ref="E9:E12"/>
    <mergeCell ref="F9:F12"/>
    <mergeCell ref="B4:F4"/>
    <mergeCell ref="B5:B6"/>
    <mergeCell ref="C5:C6"/>
    <mergeCell ref="D5:D6"/>
    <mergeCell ref="E5:F5"/>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3:M68"/>
  <sheetViews>
    <sheetView showGridLines="0" zoomScaleNormal="100" workbookViewId="0"/>
  </sheetViews>
  <sheetFormatPr defaultColWidth="8.7265625" defaultRowHeight="12" x14ac:dyDescent="0.35"/>
  <cols>
    <col min="1" max="1" width="1.7265625" style="206" customWidth="1"/>
    <col min="2" max="2" width="40.7265625" style="206" customWidth="1"/>
    <col min="3" max="3" width="58" style="206" customWidth="1"/>
    <col min="4" max="4" width="10.453125" style="206" customWidth="1"/>
    <col min="5" max="5" width="26.7265625" style="206" customWidth="1"/>
    <col min="6" max="6" width="14.1796875" style="206" customWidth="1"/>
    <col min="7" max="7" width="16.1796875" style="206" customWidth="1"/>
    <col min="8" max="256" width="10.81640625" style="206" customWidth="1"/>
    <col min="257" max="16384" width="8.7265625" style="206"/>
  </cols>
  <sheetData>
    <row r="3" spans="2:6" x14ac:dyDescent="0.35">
      <c r="B3" s="695" t="s">
        <v>353</v>
      </c>
      <c r="C3" s="695"/>
      <c r="D3" s="695"/>
      <c r="E3" s="695"/>
      <c r="F3" s="695"/>
    </row>
    <row r="4" spans="2:6" ht="21" customHeight="1" x14ac:dyDescent="0.35">
      <c r="B4" s="688" t="s">
        <v>255</v>
      </c>
      <c r="C4" s="689"/>
      <c r="D4" s="689"/>
      <c r="E4" s="689"/>
      <c r="F4" s="690"/>
    </row>
    <row r="5" spans="2:6" ht="16.5" customHeight="1" x14ac:dyDescent="0.35">
      <c r="B5" s="579" t="s">
        <v>102</v>
      </c>
      <c r="C5" s="581" t="s">
        <v>103</v>
      </c>
      <c r="D5" s="583" t="s">
        <v>104</v>
      </c>
      <c r="E5" s="662" t="s">
        <v>105</v>
      </c>
      <c r="F5" s="663"/>
    </row>
    <row r="6" spans="2:6" ht="12" customHeight="1" x14ac:dyDescent="0.35">
      <c r="B6" s="580"/>
      <c r="C6" s="582"/>
      <c r="D6" s="583"/>
      <c r="E6" s="165" t="s">
        <v>110</v>
      </c>
      <c r="F6" s="165" t="s">
        <v>107</v>
      </c>
    </row>
    <row r="7" spans="2:6" ht="37.5" customHeight="1" x14ac:dyDescent="0.35">
      <c r="B7" s="702" t="s">
        <v>362</v>
      </c>
      <c r="C7" s="516" t="s">
        <v>363</v>
      </c>
      <c r="D7" s="609" t="s">
        <v>66</v>
      </c>
      <c r="E7" s="172" t="s">
        <v>67</v>
      </c>
      <c r="F7" s="185">
        <v>100000</v>
      </c>
    </row>
    <row r="8" spans="2:6" ht="12.65" customHeight="1" x14ac:dyDescent="0.35">
      <c r="B8" s="703"/>
      <c r="C8" s="126" t="s">
        <v>248</v>
      </c>
      <c r="D8" s="610"/>
      <c r="E8" s="115" t="s">
        <v>71</v>
      </c>
      <c r="F8" s="183">
        <v>50000</v>
      </c>
    </row>
    <row r="9" spans="2:6" ht="28.5" customHeight="1" x14ac:dyDescent="0.35">
      <c r="B9" s="704"/>
      <c r="C9" s="121" t="s">
        <v>354</v>
      </c>
      <c r="D9" s="611"/>
      <c r="E9" s="116" t="s">
        <v>73</v>
      </c>
      <c r="F9" s="183">
        <v>50000</v>
      </c>
    </row>
    <row r="10" spans="2:6" x14ac:dyDescent="0.25">
      <c r="B10" s="145" t="s">
        <v>256</v>
      </c>
      <c r="C10" s="151"/>
      <c r="D10" s="294"/>
      <c r="E10" s="145"/>
      <c r="F10" s="295">
        <f>SUM(F7:F9)</f>
        <v>200000</v>
      </c>
    </row>
    <row r="11" spans="2:6" ht="28.5" customHeight="1" x14ac:dyDescent="0.35">
      <c r="B11" s="576" t="s">
        <v>359</v>
      </c>
      <c r="C11" s="577"/>
      <c r="D11" s="577"/>
      <c r="E11" s="577"/>
      <c r="F11" s="578"/>
    </row>
    <row r="12" spans="2:6" ht="17.25" customHeight="1" x14ac:dyDescent="0.35">
      <c r="B12" s="579" t="s">
        <v>102</v>
      </c>
      <c r="C12" s="581" t="s">
        <v>103</v>
      </c>
      <c r="D12" s="583" t="s">
        <v>104</v>
      </c>
      <c r="E12" s="662" t="s">
        <v>105</v>
      </c>
      <c r="F12" s="663"/>
    </row>
    <row r="13" spans="2:6" ht="16.5" customHeight="1" x14ac:dyDescent="0.35">
      <c r="B13" s="580"/>
      <c r="C13" s="582"/>
      <c r="D13" s="583"/>
      <c r="E13" s="165" t="s">
        <v>110</v>
      </c>
      <c r="F13" s="165" t="s">
        <v>107</v>
      </c>
    </row>
    <row r="14" spans="2:6" ht="31" customHeight="1" x14ac:dyDescent="0.35">
      <c r="B14" s="615" t="s">
        <v>355</v>
      </c>
      <c r="C14" s="123" t="s">
        <v>356</v>
      </c>
      <c r="D14" s="610" t="s">
        <v>66</v>
      </c>
      <c r="E14" s="116" t="s">
        <v>67</v>
      </c>
      <c r="F14" s="279">
        <v>409000</v>
      </c>
    </row>
    <row r="15" spans="2:6" ht="13.5" customHeight="1" x14ac:dyDescent="0.35">
      <c r="B15" s="616"/>
      <c r="C15" s="124" t="s">
        <v>249</v>
      </c>
      <c r="D15" s="610"/>
      <c r="E15" s="116" t="s">
        <v>71</v>
      </c>
      <c r="F15" s="279">
        <v>150000</v>
      </c>
    </row>
    <row r="16" spans="2:6" ht="25.15" customHeight="1" x14ac:dyDescent="0.35">
      <c r="B16" s="616"/>
      <c r="C16" s="700" t="s">
        <v>250</v>
      </c>
      <c r="D16" s="610"/>
      <c r="E16" s="116" t="s">
        <v>73</v>
      </c>
      <c r="F16" s="279">
        <v>110000</v>
      </c>
    </row>
    <row r="17" spans="2:7" ht="16.5" customHeight="1" x14ac:dyDescent="0.35">
      <c r="B17" s="617"/>
      <c r="C17" s="701"/>
      <c r="D17" s="611"/>
      <c r="E17" s="155" t="s">
        <v>70</v>
      </c>
      <c r="F17" s="303">
        <v>30000</v>
      </c>
    </row>
    <row r="18" spans="2:7" ht="16.5" customHeight="1" x14ac:dyDescent="0.25">
      <c r="B18" s="145" t="s">
        <v>183</v>
      </c>
      <c r="C18" s="151"/>
      <c r="D18" s="294"/>
      <c r="E18" s="145"/>
      <c r="F18" s="295">
        <f>SUM(F14:F17)</f>
        <v>699000</v>
      </c>
    </row>
    <row r="19" spans="2:7" ht="16.5" customHeight="1" x14ac:dyDescent="0.35">
      <c r="B19" s="615" t="s">
        <v>357</v>
      </c>
      <c r="C19" s="125" t="s">
        <v>251</v>
      </c>
      <c r="D19" s="610" t="s">
        <v>66</v>
      </c>
      <c r="E19" s="115" t="s">
        <v>67</v>
      </c>
      <c r="F19" s="183">
        <v>300000</v>
      </c>
    </row>
    <row r="20" spans="2:7" ht="18.75" customHeight="1" x14ac:dyDescent="0.35">
      <c r="B20" s="616"/>
      <c r="C20" s="125" t="s">
        <v>252</v>
      </c>
      <c r="D20" s="610"/>
      <c r="E20" s="115" t="s">
        <v>71</v>
      </c>
      <c r="F20" s="183">
        <v>45000</v>
      </c>
    </row>
    <row r="21" spans="2:7" ht="27" customHeight="1" x14ac:dyDescent="0.35">
      <c r="B21" s="617"/>
      <c r="C21" s="120" t="s">
        <v>358</v>
      </c>
      <c r="D21" s="611"/>
      <c r="E21" s="116" t="s">
        <v>73</v>
      </c>
      <c r="F21" s="183">
        <v>65000</v>
      </c>
    </row>
    <row r="22" spans="2:7" ht="16.5" customHeight="1" x14ac:dyDescent="0.35">
      <c r="B22" s="145" t="s">
        <v>183</v>
      </c>
      <c r="C22" s="151"/>
      <c r="D22" s="294"/>
      <c r="E22" s="145"/>
      <c r="F22" s="295">
        <f>SUM(F19:F21)</f>
        <v>410000</v>
      </c>
    </row>
    <row r="23" spans="2:7" ht="16.5" customHeight="1" x14ac:dyDescent="0.35">
      <c r="B23" s="145" t="s">
        <v>256</v>
      </c>
      <c r="C23" s="151"/>
      <c r="D23" s="294"/>
      <c r="E23" s="145"/>
      <c r="F23" s="295">
        <f>F22+F18</f>
        <v>1109000</v>
      </c>
    </row>
    <row r="24" spans="2:7" x14ac:dyDescent="0.35">
      <c r="B24" s="194" t="s">
        <v>79</v>
      </c>
      <c r="C24" s="187"/>
      <c r="D24" s="187"/>
      <c r="E24" s="187"/>
      <c r="F24" s="189">
        <f>F23+F10</f>
        <v>1309000</v>
      </c>
      <c r="G24" s="258"/>
    </row>
    <row r="25" spans="2:7" x14ac:dyDescent="0.35">
      <c r="B25" s="191" t="s">
        <v>264</v>
      </c>
      <c r="C25" s="191"/>
      <c r="D25" s="191"/>
      <c r="E25" s="191"/>
      <c r="F25" s="193">
        <f>0.07*F24</f>
        <v>91630.000000000015</v>
      </c>
      <c r="G25" s="258"/>
    </row>
    <row r="26" spans="2:7" x14ac:dyDescent="0.35">
      <c r="B26" s="194" t="s">
        <v>77</v>
      </c>
      <c r="C26" s="187"/>
      <c r="D26" s="187"/>
      <c r="E26" s="187"/>
      <c r="F26" s="189">
        <f>SUM(F24:F25)</f>
        <v>1400630</v>
      </c>
      <c r="G26" s="258"/>
    </row>
    <row r="28" spans="2:7" x14ac:dyDescent="0.35">
      <c r="B28" s="195" t="s">
        <v>108</v>
      </c>
      <c r="C28" s="195" t="s">
        <v>2</v>
      </c>
      <c r="D28" s="195" t="s">
        <v>65</v>
      </c>
      <c r="E28" s="195" t="s">
        <v>66</v>
      </c>
      <c r="F28" s="195" t="s">
        <v>61</v>
      </c>
    </row>
    <row r="29" spans="2:7" x14ac:dyDescent="0.35">
      <c r="B29" s="141" t="s">
        <v>67</v>
      </c>
      <c r="C29" s="197"/>
      <c r="D29" s="198"/>
      <c r="E29" s="232">
        <f>F7+F14+F19</f>
        <v>809000</v>
      </c>
      <c r="F29" s="200">
        <f>SUM(C29:E29)</f>
        <v>809000</v>
      </c>
    </row>
    <row r="30" spans="2:7" x14ac:dyDescent="0.35">
      <c r="B30" s="141" t="s">
        <v>71</v>
      </c>
      <c r="C30" s="197"/>
      <c r="D30" s="198"/>
      <c r="E30" s="232">
        <f>F8+F15+F20</f>
        <v>245000</v>
      </c>
      <c r="F30" s="200">
        <f t="shared" ref="F30:F35" si="0">SUM(C30:E30)</f>
        <v>245000</v>
      </c>
    </row>
    <row r="31" spans="2:7" ht="24" x14ac:dyDescent="0.35">
      <c r="B31" s="142" t="s">
        <v>73</v>
      </c>
      <c r="C31" s="197"/>
      <c r="D31" s="198"/>
      <c r="E31" s="232">
        <f>F21+F16+F9</f>
        <v>225000</v>
      </c>
      <c r="F31" s="200">
        <f t="shared" si="0"/>
        <v>225000</v>
      </c>
    </row>
    <row r="32" spans="2:7" x14ac:dyDescent="0.35">
      <c r="B32" s="201" t="s">
        <v>79</v>
      </c>
      <c r="C32" s="197"/>
      <c r="D32" s="198"/>
      <c r="E32" s="232">
        <f>F17</f>
        <v>30000</v>
      </c>
      <c r="F32" s="200">
        <f t="shared" si="0"/>
        <v>30000</v>
      </c>
    </row>
    <row r="33" spans="2:7" x14ac:dyDescent="0.35">
      <c r="B33" s="191" t="s">
        <v>109</v>
      </c>
      <c r="C33" s="267">
        <v>0</v>
      </c>
      <c r="D33" s="304">
        <f>SUM(D30:D32)</f>
        <v>0</v>
      </c>
      <c r="E33" s="305">
        <f>SUM(E29:E32)</f>
        <v>1309000</v>
      </c>
      <c r="F33" s="204">
        <f t="shared" si="0"/>
        <v>1309000</v>
      </c>
      <c r="G33" s="260">
        <f>C57+C68</f>
        <v>1309000</v>
      </c>
    </row>
    <row r="34" spans="2:7" x14ac:dyDescent="0.35">
      <c r="B34" s="210" t="s">
        <v>1</v>
      </c>
      <c r="C34" s="197">
        <v>0</v>
      </c>
      <c r="D34" s="198">
        <f>D33*0.07</f>
        <v>0</v>
      </c>
      <c r="E34" s="232">
        <f>E33*0.07</f>
        <v>91630.000000000015</v>
      </c>
      <c r="F34" s="200">
        <f t="shared" si="0"/>
        <v>91630.000000000015</v>
      </c>
    </row>
    <row r="35" spans="2:7" x14ac:dyDescent="0.35">
      <c r="B35" s="210" t="s">
        <v>1</v>
      </c>
      <c r="C35" s="235">
        <v>0</v>
      </c>
      <c r="D35" s="455">
        <f>D34+D33</f>
        <v>0</v>
      </c>
      <c r="E35" s="249">
        <f>E34+E33</f>
        <v>1400630</v>
      </c>
      <c r="F35" s="211">
        <f t="shared" si="0"/>
        <v>1400630</v>
      </c>
    </row>
    <row r="36" spans="2:7" ht="14.25" customHeight="1" x14ac:dyDescent="0.35"/>
    <row r="37" spans="2:7" ht="5.25" hidden="1" customHeight="1" x14ac:dyDescent="0.35">
      <c r="B37" s="226" t="s">
        <v>58</v>
      </c>
    </row>
    <row r="38" spans="2:7" hidden="1" x14ac:dyDescent="0.35">
      <c r="B38" s="195" t="s">
        <v>56</v>
      </c>
      <c r="C38" s="195" t="s">
        <v>66</v>
      </c>
    </row>
    <row r="39" spans="2:7" hidden="1" x14ac:dyDescent="0.35">
      <c r="B39" s="141" t="s">
        <v>32</v>
      </c>
      <c r="C39" s="200">
        <f>F14+F19</f>
        <v>709000</v>
      </c>
    </row>
    <row r="40" spans="2:7" hidden="1" x14ac:dyDescent="0.35">
      <c r="B40" s="141" t="s">
        <v>36</v>
      </c>
      <c r="C40" s="200">
        <f>F15+F20</f>
        <v>195000</v>
      </c>
    </row>
    <row r="41" spans="2:7" hidden="1" x14ac:dyDescent="0.35">
      <c r="B41" s="142" t="s">
        <v>37</v>
      </c>
      <c r="C41" s="200">
        <f>F16+F21</f>
        <v>175000</v>
      </c>
    </row>
    <row r="42" spans="2:7" hidden="1" x14ac:dyDescent="0.35">
      <c r="B42" s="142" t="s">
        <v>59</v>
      </c>
      <c r="C42" s="200">
        <f>F17</f>
        <v>30000</v>
      </c>
    </row>
    <row r="43" spans="2:7" hidden="1" x14ac:dyDescent="0.35">
      <c r="B43" s="191" t="s">
        <v>26</v>
      </c>
      <c r="C43" s="200">
        <f>SUM(C39:C42)</f>
        <v>1109000</v>
      </c>
      <c r="D43" s="306"/>
    </row>
    <row r="44" spans="2:7" hidden="1" x14ac:dyDescent="0.35">
      <c r="B44" s="191" t="s">
        <v>57</v>
      </c>
      <c r="C44" s="193">
        <f>0.07*C43</f>
        <v>77630.000000000015</v>
      </c>
    </row>
    <row r="45" spans="2:7" hidden="1" x14ac:dyDescent="0.35">
      <c r="B45" s="307" t="s">
        <v>1</v>
      </c>
      <c r="C45" s="308">
        <f>SUM(C43:C44)</f>
        <v>1186630</v>
      </c>
    </row>
    <row r="46" spans="2:7" ht="24.5" thickBot="1" x14ac:dyDescent="0.4">
      <c r="B46" s="213" t="s">
        <v>274</v>
      </c>
      <c r="C46" s="309">
        <f>'Comparativo 2019'!F24</f>
        <v>0</v>
      </c>
      <c r="D46" s="309">
        <f>'Comparativo 2019'!G24</f>
        <v>0</v>
      </c>
      <c r="E46" s="309">
        <f>'Comparativo 2019'!H24</f>
        <v>1309000</v>
      </c>
      <c r="F46" s="309">
        <f>'Comparativo 2019'!I24</f>
        <v>1309000</v>
      </c>
    </row>
    <row r="47" spans="2:7" ht="12.5" thickTop="1" x14ac:dyDescent="0.35"/>
    <row r="48" spans="2:7" ht="29.25" customHeight="1" x14ac:dyDescent="0.35">
      <c r="B48" s="576" t="s">
        <v>255</v>
      </c>
      <c r="C48" s="577"/>
      <c r="D48" s="577"/>
      <c r="E48" s="577"/>
      <c r="F48" s="578"/>
    </row>
    <row r="49" spans="2:13" x14ac:dyDescent="0.35">
      <c r="B49" s="216" t="s">
        <v>110</v>
      </c>
      <c r="C49" s="217" t="s">
        <v>60</v>
      </c>
      <c r="D49" s="218" t="s">
        <v>2</v>
      </c>
      <c r="E49" s="237" t="s">
        <v>65</v>
      </c>
      <c r="F49" s="218" t="s">
        <v>66</v>
      </c>
    </row>
    <row r="50" spans="2:13" x14ac:dyDescent="0.35">
      <c r="B50" s="141" t="s">
        <v>67</v>
      </c>
      <c r="C50" s="220">
        <f>SUM(D50:F50)</f>
        <v>100000</v>
      </c>
      <c r="D50" s="197"/>
      <c r="E50" s="198"/>
      <c r="F50" s="232">
        <f>F7</f>
        <v>100000</v>
      </c>
    </row>
    <row r="51" spans="2:13" x14ac:dyDescent="0.3">
      <c r="B51" s="261" t="s">
        <v>68</v>
      </c>
      <c r="C51" s="220">
        <f t="shared" ref="C51:C56" si="1">SUM(D51:F51)</f>
        <v>0</v>
      </c>
      <c r="D51" s="197"/>
      <c r="E51" s="198"/>
      <c r="F51" s="232"/>
      <c r="M51" s="206" t="s">
        <v>62</v>
      </c>
    </row>
    <row r="52" spans="2:13" x14ac:dyDescent="0.3">
      <c r="B52" s="264" t="s">
        <v>69</v>
      </c>
      <c r="C52" s="220">
        <f t="shared" si="1"/>
        <v>0</v>
      </c>
      <c r="D52" s="197"/>
      <c r="E52" s="198"/>
      <c r="F52" s="232"/>
    </row>
    <row r="53" spans="2:13" x14ac:dyDescent="0.3">
      <c r="B53" s="261" t="s">
        <v>70</v>
      </c>
      <c r="C53" s="220">
        <f t="shared" si="1"/>
        <v>0</v>
      </c>
      <c r="D53" s="197"/>
      <c r="E53" s="198"/>
      <c r="F53" s="232"/>
    </row>
    <row r="54" spans="2:13" x14ac:dyDescent="0.35">
      <c r="B54" s="191" t="s">
        <v>71</v>
      </c>
      <c r="C54" s="220">
        <f t="shared" si="1"/>
        <v>50000</v>
      </c>
      <c r="D54" s="197"/>
      <c r="E54" s="198"/>
      <c r="F54" s="232">
        <f>F8</f>
        <v>50000</v>
      </c>
    </row>
    <row r="55" spans="2:13" x14ac:dyDescent="0.3">
      <c r="B55" s="264" t="s">
        <v>72</v>
      </c>
      <c r="C55" s="220">
        <f t="shared" si="1"/>
        <v>0</v>
      </c>
      <c r="D55" s="197"/>
      <c r="E55" s="198"/>
      <c r="F55" s="232"/>
    </row>
    <row r="56" spans="2:13" ht="24" x14ac:dyDescent="0.35">
      <c r="B56" s="192" t="s">
        <v>73</v>
      </c>
      <c r="C56" s="220">
        <f t="shared" si="1"/>
        <v>50000</v>
      </c>
      <c r="D56" s="197"/>
      <c r="E56" s="198"/>
      <c r="F56" s="232">
        <f>F9</f>
        <v>50000</v>
      </c>
    </row>
    <row r="57" spans="2:13" x14ac:dyDescent="0.35">
      <c r="B57" s="140" t="s">
        <v>183</v>
      </c>
      <c r="C57" s="224">
        <f>SUM(C50:C56)</f>
        <v>200000</v>
      </c>
      <c r="D57" s="224">
        <f>SUM(D50:D56)</f>
        <v>0</v>
      </c>
      <c r="E57" s="224">
        <f>SUM(E50:E56)</f>
        <v>0</v>
      </c>
      <c r="F57" s="224">
        <f>SUM(F50:F56)</f>
        <v>200000</v>
      </c>
    </row>
    <row r="59" spans="2:13" ht="30.75" customHeight="1" x14ac:dyDescent="0.35">
      <c r="B59" s="576" t="s">
        <v>143</v>
      </c>
      <c r="C59" s="577"/>
      <c r="D59" s="577"/>
      <c r="E59" s="577"/>
      <c r="F59" s="578"/>
    </row>
    <row r="60" spans="2:13" x14ac:dyDescent="0.35">
      <c r="B60" s="216" t="s">
        <v>110</v>
      </c>
      <c r="C60" s="217" t="s">
        <v>60</v>
      </c>
      <c r="D60" s="218" t="s">
        <v>2</v>
      </c>
      <c r="E60" s="237" t="s">
        <v>65</v>
      </c>
      <c r="F60" s="218" t="s">
        <v>66</v>
      </c>
    </row>
    <row r="61" spans="2:13" x14ac:dyDescent="0.35">
      <c r="B61" s="141" t="s">
        <v>67</v>
      </c>
      <c r="C61" s="220">
        <f>D61+E61+F61</f>
        <v>709000</v>
      </c>
      <c r="D61" s="197"/>
      <c r="E61" s="198"/>
      <c r="F61" s="232">
        <f>F14+F19</f>
        <v>709000</v>
      </c>
    </row>
    <row r="62" spans="2:13" x14ac:dyDescent="0.3">
      <c r="B62" s="261" t="s">
        <v>68</v>
      </c>
      <c r="C62" s="220">
        <f t="shared" ref="C62:C67" si="2">D62+E62+F62</f>
        <v>0</v>
      </c>
      <c r="D62" s="197"/>
      <c r="E62" s="198"/>
      <c r="F62" s="232"/>
    </row>
    <row r="63" spans="2:13" x14ac:dyDescent="0.3">
      <c r="B63" s="264" t="s">
        <v>69</v>
      </c>
      <c r="C63" s="220">
        <f t="shared" si="2"/>
        <v>0</v>
      </c>
      <c r="D63" s="197"/>
      <c r="E63" s="198"/>
      <c r="F63" s="232"/>
    </row>
    <row r="64" spans="2:13" x14ac:dyDescent="0.3">
      <c r="B64" s="261" t="s">
        <v>70</v>
      </c>
      <c r="C64" s="220">
        <f t="shared" si="2"/>
        <v>30000</v>
      </c>
      <c r="D64" s="197"/>
      <c r="E64" s="198"/>
      <c r="F64" s="232">
        <f>F17</f>
        <v>30000</v>
      </c>
    </row>
    <row r="65" spans="2:6" x14ac:dyDescent="0.35">
      <c r="B65" s="191" t="s">
        <v>71</v>
      </c>
      <c r="C65" s="220">
        <f t="shared" si="2"/>
        <v>195000</v>
      </c>
      <c r="D65" s="197"/>
      <c r="E65" s="198"/>
      <c r="F65" s="232">
        <f>F15+F20</f>
        <v>195000</v>
      </c>
    </row>
    <row r="66" spans="2:6" x14ac:dyDescent="0.3">
      <c r="B66" s="264" t="s">
        <v>72</v>
      </c>
      <c r="C66" s="220">
        <f t="shared" si="2"/>
        <v>0</v>
      </c>
      <c r="D66" s="197"/>
      <c r="E66" s="198"/>
      <c r="F66" s="232"/>
    </row>
    <row r="67" spans="2:6" ht="24" x14ac:dyDescent="0.35">
      <c r="B67" s="192" t="s">
        <v>73</v>
      </c>
      <c r="C67" s="220">
        <f t="shared" si="2"/>
        <v>175000</v>
      </c>
      <c r="D67" s="197"/>
      <c r="E67" s="198"/>
      <c r="F67" s="232">
        <f>F21+F16</f>
        <v>175000</v>
      </c>
    </row>
    <row r="68" spans="2:6" x14ac:dyDescent="0.35">
      <c r="B68" s="140" t="s">
        <v>183</v>
      </c>
      <c r="C68" s="224">
        <f>SUM(C61:C67)</f>
        <v>1109000</v>
      </c>
      <c r="D68" s="224">
        <f>SUM(D61:D67)</f>
        <v>0</v>
      </c>
      <c r="E68" s="224">
        <f>SUM(E61:E67)</f>
        <v>0</v>
      </c>
      <c r="F68" s="224">
        <f>SUM(F61:F67)</f>
        <v>1109000</v>
      </c>
    </row>
  </sheetData>
  <mergeCells count="20">
    <mergeCell ref="B3:F3"/>
    <mergeCell ref="B4:F4"/>
    <mergeCell ref="D7:D9"/>
    <mergeCell ref="B11:F11"/>
    <mergeCell ref="B7:B9"/>
    <mergeCell ref="B5:B6"/>
    <mergeCell ref="C5:C6"/>
    <mergeCell ref="D5:D6"/>
    <mergeCell ref="E5:F5"/>
    <mergeCell ref="B12:B13"/>
    <mergeCell ref="C12:C13"/>
    <mergeCell ref="D12:D13"/>
    <mergeCell ref="C16:C17"/>
    <mergeCell ref="B59:F59"/>
    <mergeCell ref="B48:F48"/>
    <mergeCell ref="B14:B17"/>
    <mergeCell ref="D14:D17"/>
    <mergeCell ref="B19:B21"/>
    <mergeCell ref="D19:D21"/>
    <mergeCell ref="E12:F12"/>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17BB5A86A31B42BC69A981492E628C" ma:contentTypeVersion="9" ma:contentTypeDescription="Create a new document." ma:contentTypeScope="" ma:versionID="495e1ffb7b1a093fed2bc6a29e7769b8">
  <xsd:schema xmlns:xsd="http://www.w3.org/2001/XMLSchema" xmlns:xs="http://www.w3.org/2001/XMLSchema" xmlns:p="http://schemas.microsoft.com/office/2006/metadata/properties" xmlns:ns2="6684ad74-a1f4-4b64-b73c-241d7408f38b" xmlns:ns3="6a0c811f-2d0f-4d53-8e7f-a9270438e092" targetNamespace="http://schemas.microsoft.com/office/2006/metadata/properties" ma:root="true" ma:fieldsID="7819040499836d75b5d58806c003e48b" ns2:_="" ns3:_="">
    <xsd:import namespace="6684ad74-a1f4-4b64-b73c-241d7408f38b"/>
    <xsd:import namespace="6a0c811f-2d0f-4d53-8e7f-a9270438e092"/>
    <xsd:element name="properties">
      <xsd:complexType>
        <xsd:sequence>
          <xsd:element name="documentManagement">
            <xsd:complexType>
              <xsd:all>
                <xsd:element ref="ns2:SharedWithUsers" minOccurs="0"/>
                <xsd:element ref="ns2:SharedWithDetails" minOccurs="0"/>
                <xsd:element ref="ns3:Dat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84ad74-a1f4-4b64-b73c-241d7408f38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0c811f-2d0f-4d53-8e7f-a9270438e092" elementFormDefault="qualified">
    <xsd:import namespace="http://schemas.microsoft.com/office/2006/documentManagement/types"/>
    <xsd:import namespace="http://schemas.microsoft.com/office/infopath/2007/PartnerControls"/>
    <xsd:element name="Date" ma:index="10" nillable="true" ma:displayName="Date" ma:format="DateOnly" ma:internalName="Date">
      <xsd:simpleType>
        <xsd:restriction base="dms:DateTim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6a0c811f-2d0f-4d53-8e7f-a9270438e09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0F0AEA-693E-45B5-B339-EB515962A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84ad74-a1f4-4b64-b73c-241d7408f38b"/>
    <ds:schemaRef ds:uri="6a0c811f-2d0f-4d53-8e7f-a9270438e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AA9267-7F13-4CD1-8E7A-B87906983134}">
  <ds:schemaRefs>
    <ds:schemaRef ds:uri="http://schemas.openxmlformats.org/package/2006/metadata/core-properties"/>
    <ds:schemaRef ds:uri="http://schemas.microsoft.com/office/infopath/2007/PartnerControls"/>
    <ds:schemaRef ds:uri="6a0c811f-2d0f-4d53-8e7f-a9270438e092"/>
    <ds:schemaRef ds:uri="http://schemas.microsoft.com/office/2006/documentManagement/types"/>
    <ds:schemaRef ds:uri="http://purl.org/dc/elements/1.1/"/>
    <ds:schemaRef ds:uri="http://www.w3.org/XML/1998/namespace"/>
    <ds:schemaRef ds:uri="http://purl.org/dc/dcmitype/"/>
    <ds:schemaRef ds:uri="http://purl.org/dc/terms/"/>
    <ds:schemaRef ds:uri="6684ad74-a1f4-4b64-b73c-241d7408f38b"/>
    <ds:schemaRef ds:uri="http://schemas.microsoft.com/office/2006/metadata/properties"/>
  </ds:schemaRefs>
</ds:datastoreItem>
</file>

<file path=customXml/itemProps3.xml><?xml version="1.0" encoding="utf-8"?>
<ds:datastoreItem xmlns:ds="http://schemas.openxmlformats.org/officeDocument/2006/customXml" ds:itemID="{112447EA-51D1-4BD1-8AB6-DE8527563C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Consl List</vt:lpstr>
      <vt:lpstr>Consl - Countries</vt:lpstr>
      <vt:lpstr>Global</vt:lpstr>
      <vt:lpstr>Consl  Budget</vt:lpstr>
      <vt:lpstr>List by Agency</vt:lpstr>
      <vt:lpstr>Presup. por resultado y agencia</vt:lpstr>
      <vt:lpstr>Presupuesto consolidado</vt:lpstr>
      <vt:lpstr>Comparativo 2019</vt:lpstr>
      <vt:lpstr>Colombia</vt:lpstr>
      <vt:lpstr>Costa de Marfil</vt:lpstr>
      <vt:lpstr>Indonesia</vt:lpstr>
      <vt:lpstr>México</vt:lpstr>
      <vt:lpstr>Myanmar</vt:lpstr>
      <vt:lpstr>Perú</vt:lpstr>
      <vt:lpstr>Rep. de Congo</vt:lpstr>
      <vt:lpstr>Viet Nam</vt:lpstr>
      <vt:lpstr>Zambia</vt:lpstr>
      <vt:lpstr>Enfoque territorial</vt:lpstr>
      <vt:lpstr>Financiación y sector privado</vt:lpstr>
      <vt:lpstr>Tenencia-derechos PI</vt:lpstr>
      <vt:lpstr>NFMS</vt:lpstr>
      <vt:lpstr>Sheet1</vt:lpstr>
      <vt:lpstr>Sheet3</vt:lpstr>
      <vt:lpstr>Acuerdo de París y ODS</vt:lpstr>
      <vt:lpstr>Mecanismo de financ. REDD+ </vt:lpstr>
      <vt:lpstr>Temas transversales y comunica.</vt:lpstr>
      <vt:lpstr>'Consl  Budget'!Print_Area</vt:lpstr>
      <vt:lpstr>'Consl - Countries'!Print_Area</vt:lpstr>
      <vt:lpstr>Global!Print_Area</vt:lpstr>
      <vt:lpstr>'Consl  Budget'!Print_Titles</vt:lpstr>
      <vt:lpstr>'Consl - Countries'!Print_Titles</vt:lpstr>
      <vt:lpstr>Global!Print_Titles</vt:lpstr>
    </vt:vector>
  </TitlesOfParts>
  <Company>UNDP</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undp</dc:creator>
  <cp:lastModifiedBy>Mihaela Secrieru</cp:lastModifiedBy>
  <cp:revision/>
  <dcterms:created xsi:type="dcterms:W3CDTF">2012-08-29T11:54:05Z</dcterms:created>
  <dcterms:modified xsi:type="dcterms:W3CDTF">2018-10-05T06:49:16Z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0x010100E917BB5A86A31B42BC69A981492E628C</vt:lpwstr>
  </property>
  <property fmtid="{D5CDD505-2E9C-101B-9397-08002B2CF9AE}" pid="3" name="SharedWithUsers">
    <vt:lpwstr>9;#UN-REDD</vt:lpwstr>
  </property>
</Properties>
</file>