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907"/>
  <workbookPr autoCompressPictures="0"/>
  <mc:AlternateContent xmlns:mc="http://schemas.openxmlformats.org/markup-compatibility/2006">
    <mc:Choice Requires="x15">
      <x15ac:absPath xmlns:x15ac="http://schemas.microsoft.com/office/spreadsheetml/2010/11/ac" url="/Users/gazza/Desktop/"/>
    </mc:Choice>
  </mc:AlternateContent>
  <bookViews>
    <workbookView xWindow="-520" yWindow="1000" windowWidth="25600" windowHeight="14480" tabRatio="884" firstSheet="5" activeTab="7"/>
  </bookViews>
  <sheets>
    <sheet name="Consl List" sheetId="25" state="hidden" r:id="rId1"/>
    <sheet name="Consl - Countries" sheetId="24" state="hidden" r:id="rId2"/>
    <sheet name="Global" sheetId="20" state="hidden" r:id="rId3"/>
    <sheet name="Consl  Budget" sheetId="44" state="hidden" r:id="rId4"/>
    <sheet name="List by Agency" sheetId="45" state="hidden" r:id="rId5"/>
    <sheet name="Résultat Budget et agences" sheetId="53" r:id="rId6"/>
    <sheet name="Budget consolidé" sheetId="52" r:id="rId7"/>
    <sheet name="Comparaison 2020 " sheetId="54" r:id="rId8"/>
    <sheet name="Colombie" sheetId="33" r:id="rId9"/>
    <sheet name="Cote d'Ivoire" sheetId="27" r:id="rId10"/>
    <sheet name="Indonésie" sheetId="30" r:id="rId11"/>
    <sheet name="Mexique" sheetId="34" r:id="rId12"/>
    <sheet name="Myanmar" sheetId="31" r:id="rId13"/>
    <sheet name="Pérou" sheetId="50" r:id="rId14"/>
    <sheet name="Rép du Congo" sheetId="28" r:id="rId15"/>
    <sheet name="Viet Nam" sheetId="32" r:id="rId16"/>
    <sheet name="Zambie" sheetId="29" r:id="rId17"/>
    <sheet name="Approche paysages" sheetId="36" r:id="rId18"/>
    <sheet name="Financement et secteur privé" sheetId="38" r:id="rId19"/>
    <sheet name="Régimes fonciers et peuples aut" sheetId="37" r:id="rId20"/>
    <sheet name="SNSF" sheetId="39" r:id="rId21"/>
    <sheet name="Sheet1" sheetId="46" state="hidden" r:id="rId22"/>
    <sheet name="Sheet3" sheetId="48" state="hidden" r:id="rId23"/>
    <sheet name="Accord de Paris et ODD" sheetId="57" r:id="rId24"/>
    <sheet name="Mécanismes de financement REDD+" sheetId="56" r:id="rId25"/>
    <sheet name="Gestion connaissances et com." sheetId="43" r:id="rId26"/>
  </sheets>
  <externalReferences>
    <externalReference r:id="rId27"/>
    <externalReference r:id="rId28"/>
    <externalReference r:id="rId29"/>
    <externalReference r:id="rId30"/>
    <externalReference r:id="rId31"/>
    <externalReference r:id="rId32"/>
  </externalReferences>
  <definedNames>
    <definedName name="Funding" localSheetId="0">[1]Sheet2!$D$4:$D$7</definedName>
    <definedName name="Funding" localSheetId="4">[1]Sheet2!$D$4:$D$7</definedName>
    <definedName name="Funding" localSheetId="13">[1]Sheet2!$D$4:$D$7</definedName>
    <definedName name="Funding">[1]Sheet2!$D$4:$D$7</definedName>
    <definedName name="_xlnm.Print_Titles" localSheetId="3">'Consl  Budget'!$4:$4</definedName>
    <definedName name="_xlnm.Print_Titles" localSheetId="1">'Consl - Countries'!$4:$4</definedName>
    <definedName name="_xlnm.Print_Titles" localSheetId="2">Global!$4:$4</definedName>
    <definedName name="none" localSheetId="23">#REF!</definedName>
    <definedName name="none" localSheetId="17">#REF!</definedName>
    <definedName name="none" localSheetId="8">#REF!</definedName>
    <definedName name="none" localSheetId="3">#REF!</definedName>
    <definedName name="none" localSheetId="1">#REF!</definedName>
    <definedName name="none" localSheetId="0">#REF!</definedName>
    <definedName name="none" localSheetId="18">#REF!</definedName>
    <definedName name="none" localSheetId="25">#REF!</definedName>
    <definedName name="none" localSheetId="2">#REF!</definedName>
    <definedName name="none" localSheetId="10">#REF!</definedName>
    <definedName name="none" localSheetId="4">#REF!</definedName>
    <definedName name="none" localSheetId="24">#REF!</definedName>
    <definedName name="none" localSheetId="11">#REF!</definedName>
    <definedName name="none" localSheetId="12">#REF!</definedName>
    <definedName name="none" localSheetId="13">#REF!</definedName>
    <definedName name="none" localSheetId="19">#REF!</definedName>
    <definedName name="none" localSheetId="14">#REF!</definedName>
    <definedName name="none" localSheetId="20">#REF!</definedName>
    <definedName name="none" localSheetId="15">#REF!</definedName>
    <definedName name="none" localSheetId="16">#REF!</definedName>
    <definedName name="none">#REF!</definedName>
    <definedName name="Output1" localSheetId="23">#REF!</definedName>
    <definedName name="Output1" localSheetId="17">#REF!</definedName>
    <definedName name="Output1" localSheetId="8">#REF!</definedName>
    <definedName name="Output1" localSheetId="3">#REF!</definedName>
    <definedName name="Output1" localSheetId="1">#REF!</definedName>
    <definedName name="Output1" localSheetId="0">#REF!</definedName>
    <definedName name="Output1" localSheetId="18">#REF!</definedName>
    <definedName name="Output1" localSheetId="25">#REF!</definedName>
    <definedName name="Output1" localSheetId="2">#REF!</definedName>
    <definedName name="Output1" localSheetId="10">#REF!</definedName>
    <definedName name="Output1" localSheetId="4">#REF!</definedName>
    <definedName name="Output1" localSheetId="24">#REF!</definedName>
    <definedName name="Output1" localSheetId="11">#REF!</definedName>
    <definedName name="Output1" localSheetId="12">#REF!</definedName>
    <definedName name="Output1" localSheetId="13">#REF!</definedName>
    <definedName name="Output1" localSheetId="19">#REF!</definedName>
    <definedName name="Output1" localSheetId="14">#REF!</definedName>
    <definedName name="Output1" localSheetId="20">#REF!</definedName>
    <definedName name="Output1" localSheetId="15">#REF!</definedName>
    <definedName name="Output1" localSheetId="16">#REF!</definedName>
    <definedName name="Output1">#REF!</definedName>
    <definedName name="Output1_2" localSheetId="23">#REF!</definedName>
    <definedName name="Output1_2" localSheetId="17">#REF!</definedName>
    <definedName name="Output1_2" localSheetId="8">#REF!</definedName>
    <definedName name="Output1_2" localSheetId="3">#REF!</definedName>
    <definedName name="Output1_2" localSheetId="1">#REF!</definedName>
    <definedName name="Output1_2" localSheetId="0">#REF!</definedName>
    <definedName name="Output1_2" localSheetId="18">#REF!</definedName>
    <definedName name="Output1_2" localSheetId="25">#REF!</definedName>
    <definedName name="Output1_2" localSheetId="2">#REF!</definedName>
    <definedName name="Output1_2" localSheetId="10">#REF!</definedName>
    <definedName name="Output1_2" localSheetId="4">#REF!</definedName>
    <definedName name="Output1_2" localSheetId="24">#REF!</definedName>
    <definedName name="Output1_2" localSheetId="11">#REF!</definedName>
    <definedName name="Output1_2" localSheetId="12">#REF!</definedName>
    <definedName name="Output1_2" localSheetId="13">#REF!</definedName>
    <definedName name="Output1_2" localSheetId="19">#REF!</definedName>
    <definedName name="Output1_2" localSheetId="14">#REF!</definedName>
    <definedName name="Output1_2" localSheetId="20">#REF!</definedName>
    <definedName name="Output1_2" localSheetId="15">#REF!</definedName>
    <definedName name="Output1_2" localSheetId="16">#REF!</definedName>
    <definedName name="Output1_2">#REF!</definedName>
    <definedName name="Output2" localSheetId="23">#REF!</definedName>
    <definedName name="Output2" localSheetId="17">#REF!</definedName>
    <definedName name="Output2" localSheetId="8">#REF!</definedName>
    <definedName name="Output2" localSheetId="3">#REF!</definedName>
    <definedName name="Output2" localSheetId="1">#REF!</definedName>
    <definedName name="Output2" localSheetId="0">#REF!</definedName>
    <definedName name="Output2" localSheetId="18">#REF!</definedName>
    <definedName name="Output2" localSheetId="25">#REF!</definedName>
    <definedName name="Output2" localSheetId="2">#REF!</definedName>
    <definedName name="Output2" localSheetId="10">#REF!</definedName>
    <definedName name="Output2" localSheetId="4">#REF!</definedName>
    <definedName name="Output2" localSheetId="24">#REF!</definedName>
    <definedName name="Output2" localSheetId="11">#REF!</definedName>
    <definedName name="Output2" localSheetId="12">#REF!</definedName>
    <definedName name="Output2" localSheetId="13">#REF!</definedName>
    <definedName name="Output2" localSheetId="19">#REF!</definedName>
    <definedName name="Output2" localSheetId="14">#REF!</definedName>
    <definedName name="Output2" localSheetId="20">#REF!</definedName>
    <definedName name="Output2" localSheetId="15">#REF!</definedName>
    <definedName name="Output2" localSheetId="16">#REF!</definedName>
    <definedName name="Output2">#REF!</definedName>
    <definedName name="Output2_2" localSheetId="23">#REF!</definedName>
    <definedName name="Output2_2" localSheetId="17">#REF!</definedName>
    <definedName name="Output2_2" localSheetId="8">#REF!</definedName>
    <definedName name="Output2_2" localSheetId="3">#REF!</definedName>
    <definedName name="Output2_2" localSheetId="1">#REF!</definedName>
    <definedName name="Output2_2" localSheetId="0">#REF!</definedName>
    <definedName name="Output2_2" localSheetId="18">#REF!</definedName>
    <definedName name="Output2_2" localSheetId="25">#REF!</definedName>
    <definedName name="Output2_2" localSheetId="2">#REF!</definedName>
    <definedName name="Output2_2" localSheetId="10">#REF!</definedName>
    <definedName name="Output2_2" localSheetId="4">#REF!</definedName>
    <definedName name="Output2_2" localSheetId="24">#REF!</definedName>
    <definedName name="Output2_2" localSheetId="11">#REF!</definedName>
    <definedName name="Output2_2" localSheetId="12">#REF!</definedName>
    <definedName name="Output2_2" localSheetId="13">#REF!</definedName>
    <definedName name="Output2_2" localSheetId="19">#REF!</definedName>
    <definedName name="Output2_2" localSheetId="14">#REF!</definedName>
    <definedName name="Output2_2" localSheetId="20">#REF!</definedName>
    <definedName name="Output2_2" localSheetId="15">#REF!</definedName>
    <definedName name="Output2_2" localSheetId="16">#REF!</definedName>
    <definedName name="Output2_2">#REF!</definedName>
    <definedName name="Output3" localSheetId="23">#REF!</definedName>
    <definedName name="Output3" localSheetId="17">#REF!</definedName>
    <definedName name="Output3" localSheetId="8">#REF!</definedName>
    <definedName name="Output3" localSheetId="3">#REF!</definedName>
    <definedName name="Output3" localSheetId="1">#REF!</definedName>
    <definedName name="Output3" localSheetId="0">#REF!</definedName>
    <definedName name="Output3" localSheetId="18">#REF!</definedName>
    <definedName name="Output3" localSheetId="25">#REF!</definedName>
    <definedName name="Output3" localSheetId="2">#REF!</definedName>
    <definedName name="Output3" localSheetId="10">#REF!</definedName>
    <definedName name="Output3" localSheetId="4">#REF!</definedName>
    <definedName name="Output3" localSheetId="24">#REF!</definedName>
    <definedName name="Output3" localSheetId="11">#REF!</definedName>
    <definedName name="Output3" localSheetId="12">#REF!</definedName>
    <definedName name="Output3" localSheetId="13">#REF!</definedName>
    <definedName name="Output3" localSheetId="19">#REF!</definedName>
    <definedName name="Output3" localSheetId="14">#REF!</definedName>
    <definedName name="Output3" localSheetId="20">#REF!</definedName>
    <definedName name="Output3" localSheetId="15">#REF!</definedName>
    <definedName name="Output3" localSheetId="16">#REF!</definedName>
    <definedName name="Output3">#REF!</definedName>
    <definedName name="Output3_2" localSheetId="23">#REF!</definedName>
    <definedName name="Output3_2" localSheetId="17">#REF!</definedName>
    <definedName name="Output3_2" localSheetId="8">#REF!</definedName>
    <definedName name="Output3_2" localSheetId="3">#REF!</definedName>
    <definedName name="Output3_2" localSheetId="1">#REF!</definedName>
    <definedName name="Output3_2" localSheetId="0">#REF!</definedName>
    <definedName name="Output3_2" localSheetId="18">#REF!</definedName>
    <definedName name="Output3_2" localSheetId="25">#REF!</definedName>
    <definedName name="Output3_2" localSheetId="2">#REF!</definedName>
    <definedName name="Output3_2" localSheetId="10">#REF!</definedName>
    <definedName name="Output3_2" localSheetId="4">#REF!</definedName>
    <definedName name="Output3_2" localSheetId="24">#REF!</definedName>
    <definedName name="Output3_2" localSheetId="11">#REF!</definedName>
    <definedName name="Output3_2" localSheetId="12">#REF!</definedName>
    <definedName name="Output3_2" localSheetId="13">#REF!</definedName>
    <definedName name="Output3_2" localSheetId="19">#REF!</definedName>
    <definedName name="Output3_2" localSheetId="14">#REF!</definedName>
    <definedName name="Output3_2" localSheetId="20">#REF!</definedName>
    <definedName name="Output3_2" localSheetId="15">#REF!</definedName>
    <definedName name="Output3_2" localSheetId="16">#REF!</definedName>
    <definedName name="Output3_2">#REF!</definedName>
    <definedName name="Output4" localSheetId="23">#REF!</definedName>
    <definedName name="Output4" localSheetId="17">#REF!</definedName>
    <definedName name="Output4" localSheetId="8">#REF!</definedName>
    <definedName name="Output4" localSheetId="3">#REF!</definedName>
    <definedName name="Output4" localSheetId="1">#REF!</definedName>
    <definedName name="Output4" localSheetId="0">#REF!</definedName>
    <definedName name="Output4" localSheetId="18">#REF!</definedName>
    <definedName name="Output4" localSheetId="25">#REF!</definedName>
    <definedName name="Output4" localSheetId="2">#REF!</definedName>
    <definedName name="Output4" localSheetId="10">#REF!</definedName>
    <definedName name="Output4" localSheetId="4">#REF!</definedName>
    <definedName name="Output4" localSheetId="24">#REF!</definedName>
    <definedName name="Output4" localSheetId="11">#REF!</definedName>
    <definedName name="Output4" localSheetId="12">#REF!</definedName>
    <definedName name="Output4" localSheetId="13">#REF!</definedName>
    <definedName name="Output4" localSheetId="19">#REF!</definedName>
    <definedName name="Output4" localSheetId="14">#REF!</definedName>
    <definedName name="Output4" localSheetId="20">#REF!</definedName>
    <definedName name="Output4" localSheetId="15">#REF!</definedName>
    <definedName name="Output4" localSheetId="16">#REF!</definedName>
    <definedName name="Output4">#REF!</definedName>
    <definedName name="Output4_2" localSheetId="23">#REF!</definedName>
    <definedName name="Output4_2" localSheetId="17">#REF!</definedName>
    <definedName name="Output4_2" localSheetId="8">#REF!</definedName>
    <definedName name="Output4_2" localSheetId="3">#REF!</definedName>
    <definedName name="Output4_2" localSheetId="1">#REF!</definedName>
    <definedName name="Output4_2" localSheetId="0">#REF!</definedName>
    <definedName name="Output4_2" localSheetId="18">#REF!</definedName>
    <definedName name="Output4_2" localSheetId="25">#REF!</definedName>
    <definedName name="Output4_2" localSheetId="2">#REF!</definedName>
    <definedName name="Output4_2" localSheetId="10">#REF!</definedName>
    <definedName name="Output4_2" localSheetId="4">#REF!</definedName>
    <definedName name="Output4_2" localSheetId="24">#REF!</definedName>
    <definedName name="Output4_2" localSheetId="11">#REF!</definedName>
    <definedName name="Output4_2" localSheetId="12">#REF!</definedName>
    <definedName name="Output4_2" localSheetId="13">#REF!</definedName>
    <definedName name="Output4_2" localSheetId="19">#REF!</definedName>
    <definedName name="Output4_2" localSheetId="14">#REF!</definedName>
    <definedName name="Output4_2" localSheetId="20">#REF!</definedName>
    <definedName name="Output4_2" localSheetId="15">#REF!</definedName>
    <definedName name="Output4_2" localSheetId="16">#REF!</definedName>
    <definedName name="Output4_2">#REF!</definedName>
    <definedName name="Output5" localSheetId="23">#REF!</definedName>
    <definedName name="Output5" localSheetId="17">#REF!</definedName>
    <definedName name="Output5" localSheetId="8">#REF!</definedName>
    <definedName name="Output5" localSheetId="3">#REF!</definedName>
    <definedName name="Output5" localSheetId="1">#REF!</definedName>
    <definedName name="Output5" localSheetId="0">#REF!</definedName>
    <definedName name="Output5" localSheetId="18">#REF!</definedName>
    <definedName name="Output5" localSheetId="25">#REF!</definedName>
    <definedName name="Output5" localSheetId="2">#REF!</definedName>
    <definedName name="Output5" localSheetId="10">#REF!</definedName>
    <definedName name="Output5" localSheetId="4">#REF!</definedName>
    <definedName name="Output5" localSheetId="24">#REF!</definedName>
    <definedName name="Output5" localSheetId="11">#REF!</definedName>
    <definedName name="Output5" localSheetId="12">#REF!</definedName>
    <definedName name="Output5" localSheetId="13">#REF!</definedName>
    <definedName name="Output5" localSheetId="19">#REF!</definedName>
    <definedName name="Output5" localSheetId="14">#REF!</definedName>
    <definedName name="Output5" localSheetId="20">#REF!</definedName>
    <definedName name="Output5" localSheetId="15">#REF!</definedName>
    <definedName name="Output5" localSheetId="16">#REF!</definedName>
    <definedName name="Output5">#REF!</definedName>
    <definedName name="Output5_2" localSheetId="23">#REF!</definedName>
    <definedName name="Output5_2" localSheetId="17">#REF!</definedName>
    <definedName name="Output5_2" localSheetId="8">#REF!</definedName>
    <definedName name="Output5_2" localSheetId="3">#REF!</definedName>
    <definedName name="Output5_2" localSheetId="1">#REF!</definedName>
    <definedName name="Output5_2" localSheetId="0">#REF!</definedName>
    <definedName name="Output5_2" localSheetId="18">#REF!</definedName>
    <definedName name="Output5_2" localSheetId="25">#REF!</definedName>
    <definedName name="Output5_2" localSheetId="2">#REF!</definedName>
    <definedName name="Output5_2" localSheetId="10">#REF!</definedName>
    <definedName name="Output5_2" localSheetId="4">#REF!</definedName>
    <definedName name="Output5_2" localSheetId="24">#REF!</definedName>
    <definedName name="Output5_2" localSheetId="11">#REF!</definedName>
    <definedName name="Output5_2" localSheetId="12">#REF!</definedName>
    <definedName name="Output5_2" localSheetId="13">#REF!</definedName>
    <definedName name="Output5_2" localSheetId="19">#REF!</definedName>
    <definedName name="Output5_2" localSheetId="14">#REF!</definedName>
    <definedName name="Output5_2" localSheetId="20">#REF!</definedName>
    <definedName name="Output5_2" localSheetId="15">#REF!</definedName>
    <definedName name="Output5_2" localSheetId="16">#REF!</definedName>
    <definedName name="Output5_2">#REF!</definedName>
    <definedName name="Output6" localSheetId="23">#REF!</definedName>
    <definedName name="Output6" localSheetId="17">#REF!</definedName>
    <definedName name="Output6" localSheetId="8">#REF!</definedName>
    <definedName name="Output6" localSheetId="3">#REF!</definedName>
    <definedName name="Output6" localSheetId="1">#REF!</definedName>
    <definedName name="Output6" localSheetId="0">#REF!</definedName>
    <definedName name="Output6" localSheetId="18">#REF!</definedName>
    <definedName name="Output6" localSheetId="25">#REF!</definedName>
    <definedName name="Output6" localSheetId="2">#REF!</definedName>
    <definedName name="Output6" localSheetId="10">#REF!</definedName>
    <definedName name="Output6" localSheetId="4">#REF!</definedName>
    <definedName name="Output6" localSheetId="24">#REF!</definedName>
    <definedName name="Output6" localSheetId="11">#REF!</definedName>
    <definedName name="Output6" localSheetId="12">#REF!</definedName>
    <definedName name="Output6" localSheetId="13">#REF!</definedName>
    <definedName name="Output6" localSheetId="19">#REF!</definedName>
    <definedName name="Output6" localSheetId="14">#REF!</definedName>
    <definedName name="Output6" localSheetId="20">#REF!</definedName>
    <definedName name="Output6" localSheetId="15">#REF!</definedName>
    <definedName name="Output6" localSheetId="16">#REF!</definedName>
    <definedName name="Output6">#REF!</definedName>
    <definedName name="Output6_2" localSheetId="23">#REF!</definedName>
    <definedName name="Output6_2" localSheetId="17">#REF!</definedName>
    <definedName name="Output6_2" localSheetId="8">#REF!</definedName>
    <definedName name="Output6_2" localSheetId="3">#REF!</definedName>
    <definedName name="Output6_2" localSheetId="1">#REF!</definedName>
    <definedName name="Output6_2" localSheetId="0">#REF!</definedName>
    <definedName name="Output6_2" localSheetId="18">#REF!</definedName>
    <definedName name="Output6_2" localSheetId="25">#REF!</definedName>
    <definedName name="Output6_2" localSheetId="2">#REF!</definedName>
    <definedName name="Output6_2" localSheetId="10">#REF!</definedName>
    <definedName name="Output6_2" localSheetId="4">#REF!</definedName>
    <definedName name="Output6_2" localSheetId="24">#REF!</definedName>
    <definedName name="Output6_2" localSheetId="11">#REF!</definedName>
    <definedName name="Output6_2" localSheetId="12">#REF!</definedName>
    <definedName name="Output6_2" localSheetId="13">#REF!</definedName>
    <definedName name="Output6_2" localSheetId="19">#REF!</definedName>
    <definedName name="Output6_2" localSheetId="14">#REF!</definedName>
    <definedName name="Output6_2" localSheetId="20">#REF!</definedName>
    <definedName name="Output6_2" localSheetId="15">#REF!</definedName>
    <definedName name="Output6_2" localSheetId="16">#REF!</definedName>
    <definedName name="Output6_2">#REF!</definedName>
    <definedName name="Output7" localSheetId="23">#REF!</definedName>
    <definedName name="Output7" localSheetId="17">#REF!</definedName>
    <definedName name="Output7" localSheetId="8">#REF!</definedName>
    <definedName name="Output7" localSheetId="3">#REF!</definedName>
    <definedName name="Output7" localSheetId="1">#REF!</definedName>
    <definedName name="Output7" localSheetId="0">#REF!</definedName>
    <definedName name="Output7" localSheetId="18">#REF!</definedName>
    <definedName name="Output7" localSheetId="25">#REF!</definedName>
    <definedName name="Output7" localSheetId="2">#REF!</definedName>
    <definedName name="Output7" localSheetId="10">#REF!</definedName>
    <definedName name="Output7" localSheetId="4">#REF!</definedName>
    <definedName name="Output7" localSheetId="24">#REF!</definedName>
    <definedName name="Output7" localSheetId="11">#REF!</definedName>
    <definedName name="Output7" localSheetId="12">#REF!</definedName>
    <definedName name="Output7" localSheetId="13">#REF!</definedName>
    <definedName name="Output7" localSheetId="19">#REF!</definedName>
    <definedName name="Output7" localSheetId="14">#REF!</definedName>
    <definedName name="Output7" localSheetId="20">#REF!</definedName>
    <definedName name="Output7" localSheetId="15">#REF!</definedName>
    <definedName name="Output7" localSheetId="16">#REF!</definedName>
    <definedName name="Output7">#REF!</definedName>
    <definedName name="Output7_2" localSheetId="23">#REF!</definedName>
    <definedName name="Output7_2" localSheetId="17">#REF!</definedName>
    <definedName name="Output7_2" localSheetId="8">#REF!</definedName>
    <definedName name="Output7_2" localSheetId="3">#REF!</definedName>
    <definedName name="Output7_2" localSheetId="1">#REF!</definedName>
    <definedName name="Output7_2" localSheetId="0">#REF!</definedName>
    <definedName name="Output7_2" localSheetId="18">#REF!</definedName>
    <definedName name="Output7_2" localSheetId="25">#REF!</definedName>
    <definedName name="Output7_2" localSheetId="2">#REF!</definedName>
    <definedName name="Output7_2" localSheetId="10">#REF!</definedName>
    <definedName name="Output7_2" localSheetId="4">#REF!</definedName>
    <definedName name="Output7_2" localSheetId="24">#REF!</definedName>
    <definedName name="Output7_2" localSheetId="11">#REF!</definedName>
    <definedName name="Output7_2" localSheetId="12">#REF!</definedName>
    <definedName name="Output7_2" localSheetId="13">#REF!</definedName>
    <definedName name="Output7_2" localSheetId="19">#REF!</definedName>
    <definedName name="Output7_2" localSheetId="14">#REF!</definedName>
    <definedName name="Output7_2" localSheetId="20">#REF!</definedName>
    <definedName name="Output7_2" localSheetId="15">#REF!</definedName>
    <definedName name="Output7_2" localSheetId="16">#REF!</definedName>
    <definedName name="Output7_2">#REF!</definedName>
    <definedName name="Pcost" localSheetId="23">#REF!</definedName>
    <definedName name="Pcost" localSheetId="17">#REF!</definedName>
    <definedName name="Pcost" localSheetId="8">#REF!</definedName>
    <definedName name="Pcost" localSheetId="3">#REF!</definedName>
    <definedName name="Pcost" localSheetId="1">#REF!</definedName>
    <definedName name="Pcost" localSheetId="0">#REF!</definedName>
    <definedName name="Pcost" localSheetId="18">#REF!</definedName>
    <definedName name="Pcost" localSheetId="25">#REF!</definedName>
    <definedName name="Pcost" localSheetId="2">#REF!</definedName>
    <definedName name="Pcost" localSheetId="10">#REF!</definedName>
    <definedName name="Pcost" localSheetId="4">#REF!</definedName>
    <definedName name="Pcost" localSheetId="24">#REF!</definedName>
    <definedName name="Pcost" localSheetId="11">#REF!</definedName>
    <definedName name="Pcost" localSheetId="12">#REF!</definedName>
    <definedName name="Pcost" localSheetId="13">#REF!</definedName>
    <definedName name="Pcost" localSheetId="19">#REF!</definedName>
    <definedName name="Pcost" localSheetId="14">#REF!</definedName>
    <definedName name="Pcost" localSheetId="20">#REF!</definedName>
    <definedName name="Pcost" localSheetId="15">#REF!</definedName>
    <definedName name="Pcost" localSheetId="16">#REF!</definedName>
    <definedName name="Pcost">#REF!</definedName>
    <definedName name="Personnel" localSheetId="0">[1]Sheet2!$G$4:$G$11</definedName>
    <definedName name="Personnel" localSheetId="4">[1]Sheet2!$G$4:$G$11</definedName>
    <definedName name="Personnel" localSheetId="13">[1]Sheet2!$G$4:$G$11</definedName>
    <definedName name="Personnel">[1]Sheet2!$G$4:$G$11</definedName>
    <definedName name="SupportCostFactor" localSheetId="23">#REF!</definedName>
    <definedName name="SupportCostFactor" localSheetId="17">#REF!</definedName>
    <definedName name="SupportCostFactor" localSheetId="8">#REF!</definedName>
    <definedName name="SupportCostFactor" localSheetId="3">#REF!</definedName>
    <definedName name="SupportCostFactor" localSheetId="1">#REF!</definedName>
    <definedName name="SupportCostFactor" localSheetId="0">#REF!</definedName>
    <definedName name="SupportCostFactor" localSheetId="18">#REF!</definedName>
    <definedName name="SupportCostFactor" localSheetId="25">#REF!</definedName>
    <definedName name="SupportCostFactor" localSheetId="2">#REF!</definedName>
    <definedName name="SupportCostFactor" localSheetId="10">#REF!</definedName>
    <definedName name="SupportCostFactor" localSheetId="4">#REF!</definedName>
    <definedName name="SupportCostFactor" localSheetId="24">#REF!</definedName>
    <definedName name="SupportCostFactor" localSheetId="11">#REF!</definedName>
    <definedName name="SupportCostFactor" localSheetId="12">#REF!</definedName>
    <definedName name="SupportCostFactor" localSheetId="13">#REF!</definedName>
    <definedName name="SupportCostFactor" localSheetId="19">#REF!</definedName>
    <definedName name="SupportCostFactor" localSheetId="14">#REF!</definedName>
    <definedName name="SupportCostFactor" localSheetId="20">#REF!</definedName>
    <definedName name="SupportCostFactor" localSheetId="15">#REF!</definedName>
    <definedName name="SupportCostFactor" localSheetId="16">#REF!</definedName>
    <definedName name="SupportCostFactor">#REF!</definedName>
    <definedName name="total2009" localSheetId="13">'[2]GP1 data'!$F$10</definedName>
    <definedName name="total2009">'[2]GP1 data'!$F$10</definedName>
    <definedName name="Year1" localSheetId="23">#REF!</definedName>
    <definedName name="Year1" localSheetId="17">#REF!</definedName>
    <definedName name="Year1" localSheetId="8">#REF!</definedName>
    <definedName name="Year1" localSheetId="3">#REF!</definedName>
    <definedName name="Year1" localSheetId="1">#REF!</definedName>
    <definedName name="Year1" localSheetId="0">#REF!</definedName>
    <definedName name="Year1" localSheetId="18">#REF!</definedName>
    <definedName name="Year1" localSheetId="25">#REF!</definedName>
    <definedName name="Year1" localSheetId="2">#REF!</definedName>
    <definedName name="Year1" localSheetId="10">#REF!</definedName>
    <definedName name="Year1" localSheetId="4">#REF!</definedName>
    <definedName name="Year1" localSheetId="24">#REF!</definedName>
    <definedName name="Year1" localSheetId="11">#REF!</definedName>
    <definedName name="Year1" localSheetId="12">#REF!</definedName>
    <definedName name="Year1" localSheetId="13">#REF!</definedName>
    <definedName name="Year1" localSheetId="19">#REF!</definedName>
    <definedName name="Year1" localSheetId="14">#REF!</definedName>
    <definedName name="Year1" localSheetId="20">#REF!</definedName>
    <definedName name="Year1" localSheetId="15">#REF!</definedName>
    <definedName name="Year1" localSheetId="16">#REF!</definedName>
    <definedName name="Year1">#REF!</definedName>
    <definedName name="Year1Rate" localSheetId="23">#REF!</definedName>
    <definedName name="Year1Rate" localSheetId="17">#REF!</definedName>
    <definedName name="Year1Rate" localSheetId="8">#REF!</definedName>
    <definedName name="Year1Rate" localSheetId="3">#REF!</definedName>
    <definedName name="Year1Rate" localSheetId="1">#REF!</definedName>
    <definedName name="Year1Rate" localSheetId="0">#REF!</definedName>
    <definedName name="Year1Rate" localSheetId="18">#REF!</definedName>
    <definedName name="Year1Rate" localSheetId="25">#REF!</definedName>
    <definedName name="Year1Rate" localSheetId="2">#REF!</definedName>
    <definedName name="Year1Rate" localSheetId="10">#REF!</definedName>
    <definedName name="Year1Rate" localSheetId="4">#REF!</definedName>
    <definedName name="Year1Rate" localSheetId="24">#REF!</definedName>
    <definedName name="Year1Rate" localSheetId="11">#REF!</definedName>
    <definedName name="Year1Rate" localSheetId="12">#REF!</definedName>
    <definedName name="Year1Rate" localSheetId="13">#REF!</definedName>
    <definedName name="Year1Rate" localSheetId="19">#REF!</definedName>
    <definedName name="Year1Rate" localSheetId="14">#REF!</definedName>
    <definedName name="Year1Rate" localSheetId="20">#REF!</definedName>
    <definedName name="Year1Rate" localSheetId="15">#REF!</definedName>
    <definedName name="Year1Rate" localSheetId="16">#REF!</definedName>
    <definedName name="Year1Rate">#REF!</definedName>
    <definedName name="Year2Rate" localSheetId="23">#REF!</definedName>
    <definedName name="Year2Rate" localSheetId="17">#REF!</definedName>
    <definedName name="Year2Rate" localSheetId="8">#REF!</definedName>
    <definedName name="Year2Rate" localSheetId="3">#REF!</definedName>
    <definedName name="Year2Rate" localSheetId="1">#REF!</definedName>
    <definedName name="Year2Rate" localSheetId="0">#REF!</definedName>
    <definedName name="Year2Rate" localSheetId="18">#REF!</definedName>
    <definedName name="Year2Rate" localSheetId="25">#REF!</definedName>
    <definedName name="Year2Rate" localSheetId="2">#REF!</definedName>
    <definedName name="Year2Rate" localSheetId="10">#REF!</definedName>
    <definedName name="Year2Rate" localSheetId="4">#REF!</definedName>
    <definedName name="Year2Rate" localSheetId="24">#REF!</definedName>
    <definedName name="Year2Rate" localSheetId="11">#REF!</definedName>
    <definedName name="Year2Rate" localSheetId="12">#REF!</definedName>
    <definedName name="Year2Rate" localSheetId="13">#REF!</definedName>
    <definedName name="Year2Rate" localSheetId="19">#REF!</definedName>
    <definedName name="Year2Rate" localSheetId="14">#REF!</definedName>
    <definedName name="Year2Rate" localSheetId="20">#REF!</definedName>
    <definedName name="Year2Rate" localSheetId="15">#REF!</definedName>
    <definedName name="Year2Rate" localSheetId="16">#REF!</definedName>
    <definedName name="Year2Rate">#REF!</definedName>
    <definedName name="_xlnm.Print_Area" localSheetId="3">'Consl  Budget'!$B$2:$F$15</definedName>
    <definedName name="_xlnm.Print_Area" localSheetId="1">'Consl - Countries'!$B$2:$F$20</definedName>
    <definedName name="_xlnm.Print_Area" localSheetId="2">Global!$B$2:$I$22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24" i="39" l="1"/>
  <c r="D39" i="39"/>
  <c r="C39" i="39"/>
  <c r="F31" i="56"/>
  <c r="E31" i="56"/>
  <c r="D31" i="56"/>
  <c r="C31" i="56"/>
  <c r="F47" i="57"/>
  <c r="E47" i="57"/>
  <c r="D47" i="57"/>
  <c r="C47" i="57"/>
  <c r="F27" i="29"/>
  <c r="F18" i="29"/>
  <c r="C41" i="29"/>
  <c r="F28" i="29"/>
  <c r="C42" i="29"/>
  <c r="C43" i="29"/>
  <c r="C44" i="29"/>
  <c r="J8" i="54"/>
  <c r="F39" i="50"/>
  <c r="H5" i="54"/>
  <c r="G5" i="54"/>
  <c r="F5" i="54"/>
  <c r="I5" i="54"/>
  <c r="E21" i="38"/>
  <c r="E22" i="38"/>
  <c r="E23" i="38"/>
  <c r="E24" i="38"/>
  <c r="L19" i="54"/>
  <c r="M19" i="52"/>
  <c r="L21" i="54"/>
  <c r="M21" i="52"/>
  <c r="L22" i="54"/>
  <c r="M22" i="52"/>
  <c r="L23" i="54"/>
  <c r="M23" i="52"/>
  <c r="E29" i="43"/>
  <c r="E30" i="43"/>
  <c r="E31" i="43"/>
  <c r="E32" i="43"/>
  <c r="E33" i="43"/>
  <c r="L24" i="54"/>
  <c r="M24" i="52"/>
  <c r="E33" i="36"/>
  <c r="E34" i="36"/>
  <c r="E35" i="36"/>
  <c r="E36" i="36"/>
  <c r="L18" i="54"/>
  <c r="M18" i="52"/>
  <c r="E42" i="34"/>
  <c r="E43" i="34"/>
  <c r="E44" i="34"/>
  <c r="E45" i="34"/>
  <c r="L15" i="54"/>
  <c r="M15" i="52"/>
  <c r="E53" i="33"/>
  <c r="E54" i="33"/>
  <c r="E55" i="33"/>
  <c r="E56" i="33"/>
  <c r="L14" i="54"/>
  <c r="M14" i="52"/>
  <c r="E34" i="31"/>
  <c r="E35" i="31"/>
  <c r="E37" i="31"/>
  <c r="L11" i="54"/>
  <c r="M11" i="52"/>
  <c r="L12" i="54"/>
  <c r="M12" i="52"/>
  <c r="E38" i="30"/>
  <c r="E39" i="30"/>
  <c r="E40" i="30"/>
  <c r="E41" i="30"/>
  <c r="L10" i="54"/>
  <c r="M10" i="52"/>
  <c r="L7" i="54"/>
  <c r="M7" i="52"/>
  <c r="E41" i="29"/>
  <c r="E42" i="29"/>
  <c r="E43" i="29"/>
  <c r="E44" i="29"/>
  <c r="L8" i="54"/>
  <c r="M8" i="52"/>
  <c r="F27" i="27"/>
  <c r="F31" i="27"/>
  <c r="E41" i="27"/>
  <c r="E42" i="27"/>
  <c r="E43" i="27"/>
  <c r="E44" i="27"/>
  <c r="L6" i="54"/>
  <c r="M6" i="52"/>
  <c r="K19" i="54"/>
  <c r="L19" i="52"/>
  <c r="K21" i="54"/>
  <c r="L21" i="52"/>
  <c r="D31" i="57"/>
  <c r="D32" i="57"/>
  <c r="D33" i="57"/>
  <c r="D34" i="57"/>
  <c r="K22" i="54"/>
  <c r="L22" i="52"/>
  <c r="D23" i="56"/>
  <c r="D24" i="56"/>
  <c r="D25" i="56"/>
  <c r="D26" i="56"/>
  <c r="K23" i="54"/>
  <c r="L23" i="52"/>
  <c r="D33" i="43"/>
  <c r="K24" i="54"/>
  <c r="L24" i="52"/>
  <c r="K18" i="54"/>
  <c r="L18" i="52"/>
  <c r="D42" i="34"/>
  <c r="D43" i="34"/>
  <c r="D44" i="34"/>
  <c r="D45" i="34"/>
  <c r="K15" i="54"/>
  <c r="L15" i="52"/>
  <c r="D53" i="33"/>
  <c r="D54" i="33"/>
  <c r="D55" i="33"/>
  <c r="D56" i="33"/>
  <c r="K14" i="54"/>
  <c r="L14" i="52"/>
  <c r="D34" i="31"/>
  <c r="D35" i="31"/>
  <c r="D36" i="31"/>
  <c r="D37" i="31"/>
  <c r="K11" i="54"/>
  <c r="L11" i="52"/>
  <c r="D28" i="32"/>
  <c r="D29" i="32"/>
  <c r="D30" i="32"/>
  <c r="D31" i="32"/>
  <c r="K12" i="54"/>
  <c r="L12" i="52"/>
  <c r="D38" i="30"/>
  <c r="D39" i="30"/>
  <c r="D40" i="30"/>
  <c r="D41" i="30"/>
  <c r="K10" i="54"/>
  <c r="L10" i="52"/>
  <c r="K7" i="54"/>
  <c r="L7" i="52"/>
  <c r="D41" i="29"/>
  <c r="D42" i="29"/>
  <c r="D43" i="29"/>
  <c r="D44" i="29"/>
  <c r="K8" i="54"/>
  <c r="L8" i="52"/>
  <c r="D41" i="27"/>
  <c r="D42" i="27"/>
  <c r="F25" i="27"/>
  <c r="D43" i="27"/>
  <c r="D44" i="27"/>
  <c r="K6" i="54"/>
  <c r="L6" i="52"/>
  <c r="J19" i="54"/>
  <c r="K19" i="52"/>
  <c r="C33" i="37"/>
  <c r="C34" i="37"/>
  <c r="C35" i="37"/>
  <c r="C36" i="37"/>
  <c r="J20" i="54"/>
  <c r="K20" i="52"/>
  <c r="C31" i="57"/>
  <c r="C32" i="57"/>
  <c r="C33" i="57"/>
  <c r="C34" i="57"/>
  <c r="J22" i="54"/>
  <c r="K22" i="52"/>
  <c r="J23" i="54"/>
  <c r="K23" i="52"/>
  <c r="J24" i="54"/>
  <c r="K24" i="52"/>
  <c r="C33" i="36"/>
  <c r="C34" i="36"/>
  <c r="C35" i="36"/>
  <c r="C36" i="36"/>
  <c r="J18" i="54"/>
  <c r="K18" i="52"/>
  <c r="F27" i="34"/>
  <c r="C42" i="34"/>
  <c r="F28" i="34"/>
  <c r="C43" i="34"/>
  <c r="F31" i="34"/>
  <c r="C44" i="34"/>
  <c r="C45" i="34"/>
  <c r="J15" i="54"/>
  <c r="K15" i="52"/>
  <c r="C53" i="33"/>
  <c r="C54" i="33"/>
  <c r="C55" i="33"/>
  <c r="C56" i="33"/>
  <c r="J14" i="54"/>
  <c r="K14" i="52"/>
  <c r="C34" i="31"/>
  <c r="C35" i="31"/>
  <c r="C36" i="31"/>
  <c r="C37" i="31"/>
  <c r="J11" i="54"/>
  <c r="K11" i="52"/>
  <c r="C28" i="32"/>
  <c r="C29" i="32"/>
  <c r="C30" i="32"/>
  <c r="C31" i="32"/>
  <c r="J12" i="54"/>
  <c r="K12" i="52"/>
  <c r="C38" i="30"/>
  <c r="C39" i="30"/>
  <c r="C40" i="30"/>
  <c r="C41" i="30"/>
  <c r="J10" i="54"/>
  <c r="K10" i="52"/>
  <c r="F15" i="28"/>
  <c r="C26" i="28"/>
  <c r="F16" i="28"/>
  <c r="C27" i="28"/>
  <c r="F17" i="28"/>
  <c r="C28" i="28"/>
  <c r="C29" i="28"/>
  <c r="J7" i="54"/>
  <c r="K7" i="52"/>
  <c r="C41" i="27"/>
  <c r="C42" i="27"/>
  <c r="C43" i="27"/>
  <c r="C44" i="27"/>
  <c r="J6" i="54"/>
  <c r="K6" i="52"/>
  <c r="I23" i="54"/>
  <c r="I22" i="54"/>
  <c r="I21" i="54"/>
  <c r="F10" i="31"/>
  <c r="F21" i="31"/>
  <c r="F19" i="29"/>
  <c r="F18" i="57"/>
  <c r="F16" i="53"/>
  <c r="F17" i="53"/>
  <c r="F64" i="43"/>
  <c r="F18" i="53"/>
  <c r="F75" i="27"/>
  <c r="F60" i="31"/>
  <c r="E47" i="50"/>
  <c r="F74" i="50"/>
  <c r="F67" i="29"/>
  <c r="F65" i="30"/>
  <c r="F79" i="33"/>
  <c r="F68" i="34"/>
  <c r="F65" i="43"/>
  <c r="F19" i="53"/>
  <c r="F20" i="53"/>
  <c r="F77" i="27"/>
  <c r="F62" i="31"/>
  <c r="E48" i="50"/>
  <c r="F76" i="50"/>
  <c r="F69" i="29"/>
  <c r="F67" i="30"/>
  <c r="F81" i="33"/>
  <c r="F70" i="34"/>
  <c r="F67" i="43"/>
  <c r="F21" i="53"/>
  <c r="E16" i="53"/>
  <c r="E17" i="53"/>
  <c r="E18" i="53"/>
  <c r="E20" i="53"/>
  <c r="D16" i="53"/>
  <c r="D17" i="53"/>
  <c r="D18" i="53"/>
  <c r="D75" i="27"/>
  <c r="D60" i="31"/>
  <c r="C47" i="50"/>
  <c r="D74" i="50"/>
  <c r="D54" i="32"/>
  <c r="D67" i="29"/>
  <c r="D79" i="33"/>
  <c r="D20" i="53"/>
  <c r="D77" i="27"/>
  <c r="D62" i="31"/>
  <c r="C48" i="50"/>
  <c r="D76" i="50"/>
  <c r="D56" i="32"/>
  <c r="D69" i="29"/>
  <c r="D81" i="33"/>
  <c r="F71" i="27"/>
  <c r="F56" i="31"/>
  <c r="E46" i="50"/>
  <c r="F70" i="50"/>
  <c r="F63" i="29"/>
  <c r="F61" i="30"/>
  <c r="F75" i="33"/>
  <c r="F64" i="34"/>
  <c r="F64" i="36"/>
  <c r="F61" i="43"/>
  <c r="F15" i="53"/>
  <c r="D71" i="27"/>
  <c r="D56" i="31"/>
  <c r="C46" i="50"/>
  <c r="D70" i="50"/>
  <c r="D50" i="32"/>
  <c r="D63" i="29"/>
  <c r="D75" i="33"/>
  <c r="F6" i="53"/>
  <c r="F7" i="53"/>
  <c r="F8" i="53"/>
  <c r="F35" i="38"/>
  <c r="F54" i="43"/>
  <c r="F9" i="53"/>
  <c r="F10" i="53"/>
  <c r="F56" i="43"/>
  <c r="F11" i="53"/>
  <c r="E6" i="53"/>
  <c r="E7" i="53"/>
  <c r="E8" i="53"/>
  <c r="E9" i="53"/>
  <c r="E10" i="53"/>
  <c r="E11" i="53"/>
  <c r="D6" i="53"/>
  <c r="D7" i="53"/>
  <c r="D8" i="53"/>
  <c r="D10" i="53"/>
  <c r="D66" i="27"/>
  <c r="D51" i="31"/>
  <c r="D45" i="32"/>
  <c r="E5" i="53"/>
  <c r="F31" i="38"/>
  <c r="F50" i="43"/>
  <c r="F5" i="53"/>
  <c r="F69" i="57"/>
  <c r="D69" i="57"/>
  <c r="C67" i="57"/>
  <c r="E66" i="57"/>
  <c r="C65" i="57"/>
  <c r="C64" i="57"/>
  <c r="C63" i="57"/>
  <c r="F58" i="57"/>
  <c r="E58" i="57"/>
  <c r="C57" i="57"/>
  <c r="C56" i="57"/>
  <c r="C54" i="57"/>
  <c r="C53" i="57"/>
  <c r="C52" i="57"/>
  <c r="C41" i="57"/>
  <c r="C40" i="57"/>
  <c r="E68" i="57"/>
  <c r="D55" i="57"/>
  <c r="E62" i="57"/>
  <c r="F31" i="57"/>
  <c r="F22" i="57"/>
  <c r="F23" i="57"/>
  <c r="F10" i="57"/>
  <c r="F53" i="56"/>
  <c r="D53" i="56"/>
  <c r="C51" i="56"/>
  <c r="C49" i="56"/>
  <c r="C48" i="56"/>
  <c r="C47" i="56"/>
  <c r="F42" i="56"/>
  <c r="E42" i="56"/>
  <c r="D42" i="56"/>
  <c r="C41" i="56"/>
  <c r="C40" i="56"/>
  <c r="C39" i="56"/>
  <c r="C38" i="56"/>
  <c r="C37" i="56"/>
  <c r="C36" i="56"/>
  <c r="C35" i="56"/>
  <c r="E52" i="56"/>
  <c r="C52" i="56"/>
  <c r="F24" i="56"/>
  <c r="E46" i="56"/>
  <c r="F19" i="56"/>
  <c r="F13" i="56"/>
  <c r="F14" i="56"/>
  <c r="C42" i="56"/>
  <c r="F15" i="56"/>
  <c r="C55" i="57"/>
  <c r="D64" i="27"/>
  <c r="D49" i="31"/>
  <c r="D43" i="32"/>
  <c r="F24" i="57"/>
  <c r="F25" i="57"/>
  <c r="C68" i="57"/>
  <c r="E81" i="33"/>
  <c r="E77" i="27"/>
  <c r="E67" i="30"/>
  <c r="E62" i="31"/>
  <c r="D48" i="50"/>
  <c r="E76" i="50"/>
  <c r="E56" i="32"/>
  <c r="E69" i="29"/>
  <c r="D35" i="37"/>
  <c r="E69" i="37"/>
  <c r="C66" i="57"/>
  <c r="E69" i="57"/>
  <c r="C62" i="57"/>
  <c r="D35" i="57"/>
  <c r="D36" i="57"/>
  <c r="F33" i="57"/>
  <c r="C42" i="57"/>
  <c r="C43" i="57"/>
  <c r="F32" i="57"/>
  <c r="D51" i="57"/>
  <c r="D60" i="27"/>
  <c r="D45" i="31"/>
  <c r="D39" i="32"/>
  <c r="C46" i="56"/>
  <c r="E50" i="56"/>
  <c r="C50" i="56"/>
  <c r="F23" i="56"/>
  <c r="F25" i="56"/>
  <c r="F43" i="29"/>
  <c r="F42" i="29"/>
  <c r="F17" i="29"/>
  <c r="F21" i="29"/>
  <c r="F25" i="29"/>
  <c r="F26" i="29"/>
  <c r="F78" i="27"/>
  <c r="F26" i="57"/>
  <c r="C69" i="57"/>
  <c r="C44" i="57"/>
  <c r="C45" i="57"/>
  <c r="D58" i="57"/>
  <c r="C51" i="57"/>
  <c r="C58" i="57"/>
  <c r="F34" i="57"/>
  <c r="C35" i="57"/>
  <c r="F35" i="57"/>
  <c r="C36" i="57"/>
  <c r="F36" i="57"/>
  <c r="C53" i="56"/>
  <c r="D27" i="56"/>
  <c r="F26" i="56"/>
  <c r="E53" i="56"/>
  <c r="F40" i="33"/>
  <c r="F36" i="33"/>
  <c r="F41" i="33"/>
  <c r="F30" i="33"/>
  <c r="F26" i="33"/>
  <c r="F31" i="33"/>
  <c r="D28" i="56"/>
  <c r="F28" i="56"/>
  <c r="F27" i="56"/>
  <c r="F34" i="50"/>
  <c r="F30" i="50"/>
  <c r="F26" i="50"/>
  <c r="F16" i="50"/>
  <c r="F20" i="50"/>
  <c r="D70" i="34"/>
  <c r="F21" i="34"/>
  <c r="F25" i="34"/>
  <c r="F26" i="34"/>
  <c r="F22" i="27"/>
  <c r="D49" i="28"/>
  <c r="D61" i="30"/>
  <c r="D64" i="36"/>
  <c r="D63" i="37"/>
  <c r="D53" i="28"/>
  <c r="D65" i="30"/>
  <c r="D68" i="36"/>
  <c r="D67" i="37"/>
  <c r="D55" i="28"/>
  <c r="D70" i="29"/>
  <c r="D67" i="30"/>
  <c r="D82" i="33"/>
  <c r="D70" i="36"/>
  <c r="D69" i="37"/>
  <c r="D38" i="28"/>
  <c r="D52" i="29"/>
  <c r="D56" i="29"/>
  <c r="D58" i="29"/>
  <c r="D59" i="29"/>
  <c r="D50" i="30"/>
  <c r="D53" i="36"/>
  <c r="D52" i="37"/>
  <c r="C22" i="39"/>
  <c r="C5" i="44"/>
  <c r="D33" i="39"/>
  <c r="D5" i="53"/>
  <c r="D42" i="28"/>
  <c r="D54" i="30"/>
  <c r="D57" i="36"/>
  <c r="D56" i="37"/>
  <c r="C23" i="39"/>
  <c r="D37" i="39"/>
  <c r="D9" i="53"/>
  <c r="D44" i="28"/>
  <c r="D56" i="30"/>
  <c r="D59" i="36"/>
  <c r="D58" i="37"/>
  <c r="F17" i="34"/>
  <c r="F11" i="34"/>
  <c r="F22" i="30"/>
  <c r="F18" i="30"/>
  <c r="F23" i="30"/>
  <c r="F31" i="30"/>
  <c r="F27" i="30"/>
  <c r="F32" i="30"/>
  <c r="F34" i="29"/>
  <c r="F30" i="29"/>
  <c r="F35" i="29"/>
  <c r="F10" i="29"/>
  <c r="F36" i="29"/>
  <c r="F10" i="30"/>
  <c r="F33" i="30"/>
  <c r="G6" i="52"/>
  <c r="H6" i="52"/>
  <c r="E52" i="27"/>
  <c r="G7" i="52"/>
  <c r="H7" i="52"/>
  <c r="I7" i="52"/>
  <c r="J7" i="52"/>
  <c r="F41" i="29"/>
  <c r="M7" i="54"/>
  <c r="F13" i="33"/>
  <c r="E67" i="29"/>
  <c r="E63" i="29"/>
  <c r="E56" i="28"/>
  <c r="F56" i="28"/>
  <c r="C52" i="29"/>
  <c r="C53" i="29"/>
  <c r="C54" i="29"/>
  <c r="C55" i="29"/>
  <c r="C56" i="29"/>
  <c r="C57" i="29"/>
  <c r="C58" i="29"/>
  <c r="C59" i="29"/>
  <c r="F10" i="37"/>
  <c r="D47" i="50"/>
  <c r="F47" i="50"/>
  <c r="D46" i="50"/>
  <c r="E70" i="50"/>
  <c r="E64" i="34"/>
  <c r="E68" i="34"/>
  <c r="F45" i="33"/>
  <c r="F54" i="33"/>
  <c r="F53" i="33"/>
  <c r="F55" i="33"/>
  <c r="F20" i="33"/>
  <c r="C50" i="30"/>
  <c r="E65" i="30"/>
  <c r="E61" i="30"/>
  <c r="E68" i="30"/>
  <c r="F18" i="43"/>
  <c r="F22" i="43"/>
  <c r="F30" i="43"/>
  <c r="C51" i="43"/>
  <c r="C52" i="43"/>
  <c r="C53" i="43"/>
  <c r="C55" i="43"/>
  <c r="C50" i="43"/>
  <c r="F23" i="43"/>
  <c r="F10" i="43"/>
  <c r="F24" i="43"/>
  <c r="F25" i="43"/>
  <c r="C56" i="43"/>
  <c r="C54" i="43"/>
  <c r="D51" i="27"/>
  <c r="E56" i="31"/>
  <c r="E50" i="32"/>
  <c r="D33" i="37"/>
  <c r="E63" i="37"/>
  <c r="E75" i="33"/>
  <c r="E71" i="27"/>
  <c r="C55" i="28"/>
  <c r="C49" i="28"/>
  <c r="C50" i="28"/>
  <c r="C51" i="28"/>
  <c r="C52" i="28"/>
  <c r="C53" i="28"/>
  <c r="C54" i="28"/>
  <c r="C56" i="28"/>
  <c r="D45" i="28"/>
  <c r="C62" i="31"/>
  <c r="E60" i="31"/>
  <c r="D63" i="31"/>
  <c r="C51" i="31"/>
  <c r="E54" i="32"/>
  <c r="C56" i="32"/>
  <c r="D57" i="32"/>
  <c r="C45" i="32"/>
  <c r="C70" i="36"/>
  <c r="C57" i="36"/>
  <c r="C53" i="36"/>
  <c r="C54" i="36"/>
  <c r="C55" i="36"/>
  <c r="C56" i="36"/>
  <c r="C58" i="36"/>
  <c r="C59" i="36"/>
  <c r="C60" i="36"/>
  <c r="D34" i="37"/>
  <c r="E67" i="37"/>
  <c r="E70" i="37"/>
  <c r="E79" i="33"/>
  <c r="E75" i="27"/>
  <c r="C69" i="37"/>
  <c r="C58" i="37"/>
  <c r="D59" i="37"/>
  <c r="E68" i="43"/>
  <c r="D68" i="43"/>
  <c r="C67" i="43"/>
  <c r="C66" i="43"/>
  <c r="C65" i="43"/>
  <c r="C64" i="43"/>
  <c r="C63" i="43"/>
  <c r="C62" i="43"/>
  <c r="C61" i="43"/>
  <c r="C68" i="43"/>
  <c r="F57" i="43"/>
  <c r="E57" i="43"/>
  <c r="D57" i="43"/>
  <c r="F51" i="39"/>
  <c r="E51" i="39"/>
  <c r="D51" i="39"/>
  <c r="C50" i="39"/>
  <c r="C49" i="39"/>
  <c r="C48" i="39"/>
  <c r="C47" i="39"/>
  <c r="C46" i="39"/>
  <c r="C45" i="39"/>
  <c r="C44" i="39"/>
  <c r="F40" i="39"/>
  <c r="E40" i="39"/>
  <c r="C38" i="39"/>
  <c r="C36" i="39"/>
  <c r="C35" i="39"/>
  <c r="C34" i="39"/>
  <c r="F70" i="37"/>
  <c r="C68" i="37"/>
  <c r="C66" i="37"/>
  <c r="C65" i="37"/>
  <c r="C64" i="37"/>
  <c r="C63" i="37"/>
  <c r="F59" i="37"/>
  <c r="E59" i="37"/>
  <c r="C57" i="37"/>
  <c r="C56" i="37"/>
  <c r="C55" i="37"/>
  <c r="C54" i="37"/>
  <c r="C53" i="37"/>
  <c r="C52" i="37"/>
  <c r="C59" i="37"/>
  <c r="F49" i="38"/>
  <c r="E49" i="38"/>
  <c r="D49" i="38"/>
  <c r="C48" i="38"/>
  <c r="C47" i="38"/>
  <c r="C46" i="38"/>
  <c r="C45" i="38"/>
  <c r="C44" i="38"/>
  <c r="C43" i="38"/>
  <c r="C42" i="38"/>
  <c r="E38" i="38"/>
  <c r="D38" i="38"/>
  <c r="C37" i="38"/>
  <c r="C36" i="38"/>
  <c r="C34" i="38"/>
  <c r="C33" i="38"/>
  <c r="C32" i="38"/>
  <c r="E71" i="36"/>
  <c r="D71" i="36"/>
  <c r="C69" i="36"/>
  <c r="C68" i="36"/>
  <c r="C67" i="36"/>
  <c r="C66" i="36"/>
  <c r="C65" i="36"/>
  <c r="F60" i="36"/>
  <c r="E60" i="36"/>
  <c r="C75" i="50"/>
  <c r="C73" i="50"/>
  <c r="C72" i="50"/>
  <c r="C71" i="50"/>
  <c r="F66" i="50"/>
  <c r="E66" i="50"/>
  <c r="D66" i="50"/>
  <c r="C65" i="50"/>
  <c r="C64" i="50"/>
  <c r="C63" i="50"/>
  <c r="C62" i="50"/>
  <c r="C61" i="50"/>
  <c r="C60" i="50"/>
  <c r="C59" i="50"/>
  <c r="F60" i="34"/>
  <c r="E60" i="34"/>
  <c r="D60" i="34"/>
  <c r="C59" i="34"/>
  <c r="C58" i="34"/>
  <c r="C57" i="34"/>
  <c r="C56" i="34"/>
  <c r="C55" i="34"/>
  <c r="C54" i="34"/>
  <c r="C53" i="34"/>
  <c r="C69" i="34"/>
  <c r="C67" i="34"/>
  <c r="C66" i="34"/>
  <c r="C65" i="34"/>
  <c r="C80" i="33"/>
  <c r="C78" i="33"/>
  <c r="C77" i="33"/>
  <c r="C76" i="33"/>
  <c r="F71" i="33"/>
  <c r="E71" i="33"/>
  <c r="D71" i="33"/>
  <c r="C70" i="33"/>
  <c r="C69" i="33"/>
  <c r="C68" i="33"/>
  <c r="C67" i="33"/>
  <c r="C66" i="33"/>
  <c r="C65" i="33"/>
  <c r="C64" i="33"/>
  <c r="F57" i="32"/>
  <c r="C55" i="32"/>
  <c r="C53" i="32"/>
  <c r="C52" i="32"/>
  <c r="C51" i="32"/>
  <c r="C50" i="32"/>
  <c r="C54" i="32"/>
  <c r="C57" i="32"/>
  <c r="F46" i="32"/>
  <c r="E46" i="32"/>
  <c r="C44" i="32"/>
  <c r="C42" i="32"/>
  <c r="C41" i="32"/>
  <c r="C40" i="32"/>
  <c r="C39" i="32"/>
  <c r="C61" i="31"/>
  <c r="C59" i="31"/>
  <c r="C58" i="31"/>
  <c r="C57" i="31"/>
  <c r="F52" i="31"/>
  <c r="E52" i="31"/>
  <c r="C50" i="31"/>
  <c r="C49" i="31"/>
  <c r="C48" i="31"/>
  <c r="C47" i="31"/>
  <c r="C46" i="31"/>
  <c r="C45" i="31"/>
  <c r="C52" i="31"/>
  <c r="C66" i="30"/>
  <c r="C62" i="30"/>
  <c r="F57" i="30"/>
  <c r="E57" i="30"/>
  <c r="C56" i="30"/>
  <c r="C55" i="30"/>
  <c r="C53" i="30"/>
  <c r="C52" i="30"/>
  <c r="C51" i="30"/>
  <c r="C68" i="29"/>
  <c r="C66" i="29"/>
  <c r="C65" i="29"/>
  <c r="C64" i="29"/>
  <c r="F59" i="29"/>
  <c r="E59" i="29"/>
  <c r="F45" i="28"/>
  <c r="E45" i="28"/>
  <c r="C43" i="28"/>
  <c r="C42" i="28"/>
  <c r="C41" i="28"/>
  <c r="C40" i="28"/>
  <c r="C39" i="28"/>
  <c r="C38" i="28"/>
  <c r="D78" i="27"/>
  <c r="C76" i="27"/>
  <c r="C74" i="27"/>
  <c r="C73" i="27"/>
  <c r="C72" i="27"/>
  <c r="F67" i="27"/>
  <c r="E67" i="27"/>
  <c r="D67" i="27"/>
  <c r="C66" i="27"/>
  <c r="C65" i="27"/>
  <c r="C64" i="27"/>
  <c r="C63" i="27"/>
  <c r="C62" i="27"/>
  <c r="C61" i="27"/>
  <c r="C60" i="27"/>
  <c r="C67" i="27"/>
  <c r="D36" i="37"/>
  <c r="D37" i="37"/>
  <c r="D38" i="37"/>
  <c r="C37" i="37"/>
  <c r="C38" i="37"/>
  <c r="F38" i="37"/>
  <c r="F37" i="37"/>
  <c r="K20" i="54"/>
  <c r="L20" i="52"/>
  <c r="L20" i="54"/>
  <c r="M20" i="52"/>
  <c r="M17" i="52"/>
  <c r="G20" i="52"/>
  <c r="D23" i="45"/>
  <c r="M22" i="54"/>
  <c r="G24" i="52"/>
  <c r="I23" i="52"/>
  <c r="G23" i="52"/>
  <c r="H21" i="52"/>
  <c r="I21" i="52"/>
  <c r="H19" i="52"/>
  <c r="G19" i="52"/>
  <c r="H18" i="52"/>
  <c r="I12" i="52"/>
  <c r="F29" i="39"/>
  <c r="D27" i="38"/>
  <c r="E46" i="43"/>
  <c r="I24" i="54"/>
  <c r="M24" i="54"/>
  <c r="V24" i="54"/>
  <c r="N24" i="54"/>
  <c r="O24" i="54"/>
  <c r="P24" i="54"/>
  <c r="Q24" i="54"/>
  <c r="R24" i="54"/>
  <c r="E29" i="39"/>
  <c r="N21" i="54"/>
  <c r="O21" i="54"/>
  <c r="P21" i="54"/>
  <c r="Q21" i="54"/>
  <c r="R21" i="54"/>
  <c r="I20" i="54"/>
  <c r="F40" i="37"/>
  <c r="N20" i="54"/>
  <c r="O20" i="54"/>
  <c r="P20" i="54"/>
  <c r="Q20" i="54"/>
  <c r="R20" i="54"/>
  <c r="I19" i="54"/>
  <c r="F27" i="38"/>
  <c r="N19" i="54"/>
  <c r="O19" i="54"/>
  <c r="P19" i="54"/>
  <c r="Q19" i="54"/>
  <c r="R19" i="54"/>
  <c r="I18" i="54"/>
  <c r="F49" i="36"/>
  <c r="N16" i="54"/>
  <c r="O16" i="54"/>
  <c r="P16" i="54"/>
  <c r="P15" i="54"/>
  <c r="P13" i="54"/>
  <c r="Q16" i="54"/>
  <c r="E49" i="34"/>
  <c r="N15" i="54"/>
  <c r="O15" i="54"/>
  <c r="O13" i="54"/>
  <c r="O6" i="54"/>
  <c r="O5" i="54"/>
  <c r="O12" i="54"/>
  <c r="O9" i="54"/>
  <c r="O4" i="54"/>
  <c r="O17" i="54"/>
  <c r="O25" i="54"/>
  <c r="Q15" i="54"/>
  <c r="E35" i="32"/>
  <c r="N12" i="54"/>
  <c r="N9" i="54"/>
  <c r="P12" i="54"/>
  <c r="P9" i="54"/>
  <c r="Q9" i="54"/>
  <c r="E10" i="54"/>
  <c r="E11" i="54"/>
  <c r="E12" i="54"/>
  <c r="E9" i="54"/>
  <c r="M10" i="54"/>
  <c r="M11" i="54"/>
  <c r="M12" i="54"/>
  <c r="M9" i="54"/>
  <c r="R9" i="54"/>
  <c r="Q12" i="54"/>
  <c r="E41" i="31"/>
  <c r="E45" i="30"/>
  <c r="E48" i="29"/>
  <c r="D33" i="28"/>
  <c r="E33" i="28"/>
  <c r="N6" i="54"/>
  <c r="N5" i="54"/>
  <c r="P6" i="54"/>
  <c r="P5" i="54"/>
  <c r="Q6" i="54"/>
  <c r="R6" i="54"/>
  <c r="D46" i="43"/>
  <c r="T23" i="54"/>
  <c r="T22" i="54"/>
  <c r="D29" i="39"/>
  <c r="D40" i="37"/>
  <c r="E40" i="37"/>
  <c r="U19" i="54"/>
  <c r="D49" i="36"/>
  <c r="U18" i="54"/>
  <c r="D54" i="50"/>
  <c r="E54" i="50"/>
  <c r="D49" i="34"/>
  <c r="D60" i="33"/>
  <c r="E60" i="33"/>
  <c r="C54" i="50"/>
  <c r="C49" i="34"/>
  <c r="C60" i="33"/>
  <c r="T12" i="54"/>
  <c r="T11" i="54"/>
  <c r="T10" i="54"/>
  <c r="C45" i="30"/>
  <c r="D48" i="29"/>
  <c r="C48" i="29"/>
  <c r="S7" i="54"/>
  <c r="T6" i="54"/>
  <c r="E56" i="27"/>
  <c r="S6" i="54"/>
  <c r="S24" i="54"/>
  <c r="C29" i="39"/>
  <c r="C40" i="37"/>
  <c r="C27" i="38"/>
  <c r="S18" i="54"/>
  <c r="C49" i="36"/>
  <c r="E24" i="54"/>
  <c r="Q23" i="54"/>
  <c r="E23" i="54"/>
  <c r="Q22" i="54"/>
  <c r="E22" i="54"/>
  <c r="E21" i="54"/>
  <c r="E20" i="54"/>
  <c r="E19" i="54"/>
  <c r="Q18" i="54"/>
  <c r="E18" i="54"/>
  <c r="D17" i="54"/>
  <c r="C17" i="54"/>
  <c r="B17" i="54"/>
  <c r="E16" i="54"/>
  <c r="E15" i="54"/>
  <c r="Q14" i="54"/>
  <c r="E14" i="54"/>
  <c r="D13" i="54"/>
  <c r="C13" i="54"/>
  <c r="B13" i="54"/>
  <c r="Q11" i="54"/>
  <c r="Q10" i="54"/>
  <c r="D9" i="54"/>
  <c r="C9" i="54"/>
  <c r="B9" i="54"/>
  <c r="Q8" i="54"/>
  <c r="E8" i="54"/>
  <c r="E6" i="54"/>
  <c r="E7" i="54"/>
  <c r="E5" i="54"/>
  <c r="Q7" i="54"/>
  <c r="D5" i="54"/>
  <c r="D4" i="54"/>
  <c r="C5" i="54"/>
  <c r="B5" i="54"/>
  <c r="C4" i="54"/>
  <c r="B4" i="54"/>
  <c r="D25" i="54"/>
  <c r="D26" i="54"/>
  <c r="D27" i="54"/>
  <c r="B25" i="54"/>
  <c r="B26" i="54"/>
  <c r="C25" i="54"/>
  <c r="F32" i="43"/>
  <c r="F31" i="43"/>
  <c r="F35" i="37"/>
  <c r="F33" i="37"/>
  <c r="F22" i="38"/>
  <c r="F23" i="38"/>
  <c r="F14" i="38"/>
  <c r="F10" i="38"/>
  <c r="F15" i="38"/>
  <c r="C31" i="38"/>
  <c r="F29" i="32"/>
  <c r="F10" i="27"/>
  <c r="F18" i="27"/>
  <c r="F28" i="28"/>
  <c r="N24" i="52"/>
  <c r="F24" i="52"/>
  <c r="N23" i="52"/>
  <c r="F23" i="52"/>
  <c r="N22" i="52"/>
  <c r="F22" i="52"/>
  <c r="F21" i="52"/>
  <c r="F20" i="52"/>
  <c r="N19" i="52"/>
  <c r="F19" i="52"/>
  <c r="N18" i="52"/>
  <c r="F18" i="52"/>
  <c r="F17" i="52"/>
  <c r="E17" i="52"/>
  <c r="D17" i="52"/>
  <c r="C17" i="52"/>
  <c r="F16" i="52"/>
  <c r="N15" i="52"/>
  <c r="F15" i="52"/>
  <c r="N14" i="52"/>
  <c r="F14" i="52"/>
  <c r="F13" i="52"/>
  <c r="E13" i="52"/>
  <c r="D13" i="52"/>
  <c r="C13" i="52"/>
  <c r="C9" i="52"/>
  <c r="C5" i="52"/>
  <c r="C25" i="52"/>
  <c r="N12" i="52"/>
  <c r="F12" i="52"/>
  <c r="N11" i="52"/>
  <c r="F11" i="52"/>
  <c r="N10" i="52"/>
  <c r="F10" i="52"/>
  <c r="F9" i="52"/>
  <c r="M9" i="52"/>
  <c r="K9" i="52"/>
  <c r="L9" i="52"/>
  <c r="N9" i="52"/>
  <c r="E9" i="52"/>
  <c r="E5" i="52"/>
  <c r="E25" i="52"/>
  <c r="D9" i="52"/>
  <c r="F8" i="52"/>
  <c r="F6" i="52"/>
  <c r="F7" i="52"/>
  <c r="F5" i="52"/>
  <c r="F4" i="52"/>
  <c r="N7" i="52"/>
  <c r="N6" i="52"/>
  <c r="M5" i="52"/>
  <c r="L5" i="52"/>
  <c r="E4" i="52"/>
  <c r="D5" i="52"/>
  <c r="D25" i="52"/>
  <c r="C4" i="52"/>
  <c r="F10" i="39"/>
  <c r="F14" i="39"/>
  <c r="F15" i="39"/>
  <c r="F16" i="39"/>
  <c r="C39" i="43"/>
  <c r="E50" i="27"/>
  <c r="D42" i="36"/>
  <c r="C40" i="43"/>
  <c r="D43" i="36"/>
  <c r="C41" i="43"/>
  <c r="D44" i="36"/>
  <c r="C44" i="36"/>
  <c r="E44" i="36"/>
  <c r="C42" i="43"/>
  <c r="F12" i="44"/>
  <c r="C50" i="27"/>
  <c r="C42" i="36"/>
  <c r="C43" i="37"/>
  <c r="C44" i="37"/>
  <c r="C45" i="37"/>
  <c r="C46" i="37"/>
  <c r="C51" i="27"/>
  <c r="C52" i="27"/>
  <c r="C53" i="27"/>
  <c r="C43" i="36"/>
  <c r="E43" i="36"/>
  <c r="E42" i="36"/>
  <c r="E45" i="36"/>
  <c r="E46" i="36"/>
  <c r="D14" i="44"/>
  <c r="C6" i="44"/>
  <c r="D6" i="44"/>
  <c r="F33" i="36"/>
  <c r="F34" i="36"/>
  <c r="F35" i="36"/>
  <c r="F11" i="28"/>
  <c r="F36" i="31"/>
  <c r="F28" i="32"/>
  <c r="C15" i="45"/>
  <c r="C14" i="45"/>
  <c r="E15" i="45"/>
  <c r="E14" i="45"/>
  <c r="E7" i="45"/>
  <c r="E11" i="45"/>
  <c r="E12" i="45"/>
  <c r="E10" i="45"/>
  <c r="C16" i="45"/>
  <c r="F16" i="45"/>
  <c r="C17" i="45"/>
  <c r="F17" i="45"/>
  <c r="D17" i="45"/>
  <c r="E17" i="45"/>
  <c r="F18" i="37"/>
  <c r="F26" i="37"/>
  <c r="F27" i="37"/>
  <c r="F28" i="37"/>
  <c r="F29" i="37"/>
  <c r="F10" i="36"/>
  <c r="F17" i="36"/>
  <c r="F21" i="36"/>
  <c r="F25" i="36"/>
  <c r="F26" i="36"/>
  <c r="F5" i="44"/>
  <c r="F6" i="44"/>
  <c r="F7" i="44"/>
  <c r="D45" i="37"/>
  <c r="D44" i="37"/>
  <c r="E44" i="37"/>
  <c r="E51" i="27"/>
  <c r="F51" i="27"/>
  <c r="C13" i="44"/>
  <c r="C12" i="44"/>
  <c r="D43" i="37"/>
  <c r="F17" i="31"/>
  <c r="F26" i="31"/>
  <c r="F17" i="32"/>
  <c r="F21" i="32"/>
  <c r="F10" i="32"/>
  <c r="F30" i="27"/>
  <c r="F34" i="27"/>
  <c r="C10" i="24"/>
  <c r="C19" i="24"/>
  <c r="F32" i="24"/>
  <c r="C9" i="24"/>
  <c r="C18" i="24"/>
  <c r="F31" i="24"/>
  <c r="C8" i="24"/>
  <c r="C17" i="24"/>
  <c r="F30" i="24"/>
  <c r="C7" i="24"/>
  <c r="C16" i="24"/>
  <c r="F29" i="24"/>
  <c r="C6" i="24"/>
  <c r="C15" i="24"/>
  <c r="F28" i="24"/>
  <c r="C5" i="24"/>
  <c r="C14" i="24"/>
  <c r="F27" i="24"/>
  <c r="F33" i="24"/>
  <c r="D15" i="24"/>
  <c r="D16" i="24"/>
  <c r="D17" i="24"/>
  <c r="D18" i="24"/>
  <c r="D19" i="24"/>
  <c r="D14" i="24"/>
  <c r="D20" i="24"/>
  <c r="D5" i="24"/>
  <c r="D11" i="24"/>
  <c r="D21" i="24"/>
  <c r="D6" i="24"/>
  <c r="D7" i="24"/>
  <c r="D8" i="24"/>
  <c r="D9" i="24"/>
  <c r="D10" i="24"/>
  <c r="F15" i="24"/>
  <c r="F16" i="24"/>
  <c r="F17" i="24"/>
  <c r="F18" i="24"/>
  <c r="F19" i="24"/>
  <c r="F14" i="24"/>
  <c r="F20" i="24"/>
  <c r="E15" i="24"/>
  <c r="E16" i="24"/>
  <c r="E17" i="24"/>
  <c r="E18" i="24"/>
  <c r="E19" i="24"/>
  <c r="E14" i="24"/>
  <c r="D4" i="25"/>
  <c r="D8" i="25"/>
  <c r="D12" i="25"/>
  <c r="D3" i="25"/>
  <c r="E4" i="25"/>
  <c r="E8" i="25"/>
  <c r="E12" i="25"/>
  <c r="E3" i="25"/>
  <c r="F5" i="25"/>
  <c r="F7" i="25"/>
  <c r="C7" i="25"/>
  <c r="F9" i="25"/>
  <c r="F10" i="25"/>
  <c r="F8" i="25"/>
  <c r="F13" i="25"/>
  <c r="C13" i="25"/>
  <c r="F14" i="25"/>
  <c r="C14" i="25"/>
  <c r="C15" i="25"/>
  <c r="C12" i="25"/>
  <c r="F12" i="25"/>
  <c r="C6" i="25"/>
  <c r="C9" i="25"/>
  <c r="C10" i="25"/>
  <c r="C11" i="25"/>
  <c r="C8" i="25"/>
  <c r="D16" i="25"/>
  <c r="E16" i="25"/>
  <c r="E24" i="25"/>
  <c r="E25" i="25"/>
  <c r="F23" i="25"/>
  <c r="C23" i="25"/>
  <c r="F18" i="25"/>
  <c r="F17" i="25"/>
  <c r="F16" i="25"/>
  <c r="C18" i="25"/>
  <c r="C17" i="25"/>
  <c r="C16" i="25"/>
  <c r="D24" i="25"/>
  <c r="D25" i="25"/>
  <c r="E26" i="25"/>
  <c r="C19" i="25"/>
  <c r="C20" i="25"/>
  <c r="C21" i="25"/>
  <c r="C22" i="25"/>
  <c r="F6" i="24"/>
  <c r="F7" i="24"/>
  <c r="F8" i="24"/>
  <c r="F9" i="24"/>
  <c r="F10" i="24"/>
  <c r="F5" i="24"/>
  <c r="F11" i="24"/>
  <c r="F21" i="24"/>
  <c r="E20" i="24"/>
  <c r="U5" i="20"/>
  <c r="H5" i="20"/>
  <c r="E5" i="24"/>
  <c r="E11" i="24"/>
  <c r="E21" i="24"/>
  <c r="U6" i="20"/>
  <c r="H6" i="20"/>
  <c r="U7" i="20"/>
  <c r="H7" i="20"/>
  <c r="E7" i="24"/>
  <c r="U8" i="20"/>
  <c r="U9" i="20"/>
  <c r="U10" i="20"/>
  <c r="U11" i="20"/>
  <c r="U12" i="20"/>
  <c r="H9" i="20"/>
  <c r="E9" i="24"/>
  <c r="H11" i="20"/>
  <c r="E10" i="24"/>
  <c r="C20" i="24"/>
  <c r="C11" i="24"/>
  <c r="C21" i="24"/>
  <c r="AA19" i="20"/>
  <c r="I19" i="20"/>
  <c r="O21" i="20"/>
  <c r="G21" i="20"/>
  <c r="O9" i="20"/>
  <c r="G9" i="20"/>
  <c r="Z22" i="20"/>
  <c r="Y22" i="20"/>
  <c r="X22" i="20"/>
  <c r="T22" i="20"/>
  <c r="S22" i="20"/>
  <c r="S12" i="20"/>
  <c r="S23" i="20"/>
  <c r="R22" i="20"/>
  <c r="R12" i="20"/>
  <c r="R23" i="20"/>
  <c r="R24" i="20"/>
  <c r="N22" i="20"/>
  <c r="M22" i="20"/>
  <c r="L22" i="20"/>
  <c r="AA21" i="20"/>
  <c r="I21" i="20"/>
  <c r="U21" i="20"/>
  <c r="H21" i="20"/>
  <c r="E21" i="20"/>
  <c r="D21" i="20"/>
  <c r="C21" i="20"/>
  <c r="AA20" i="20"/>
  <c r="I20" i="20"/>
  <c r="U20" i="20"/>
  <c r="H20" i="20"/>
  <c r="O20" i="20"/>
  <c r="G20" i="20"/>
  <c r="E20" i="20"/>
  <c r="D20" i="20"/>
  <c r="C20" i="20"/>
  <c r="U19" i="20"/>
  <c r="H19" i="20"/>
  <c r="O19" i="20"/>
  <c r="G19" i="20"/>
  <c r="E19" i="20"/>
  <c r="C19" i="20"/>
  <c r="D19" i="20"/>
  <c r="F19" i="20"/>
  <c r="AA18" i="20"/>
  <c r="I18" i="20"/>
  <c r="U18" i="20"/>
  <c r="H18" i="20"/>
  <c r="O18" i="20"/>
  <c r="G18" i="20"/>
  <c r="E18" i="20"/>
  <c r="D18" i="20"/>
  <c r="C18" i="20"/>
  <c r="AA17" i="20"/>
  <c r="I17" i="20"/>
  <c r="U17" i="20"/>
  <c r="H17" i="20"/>
  <c r="O17" i="20"/>
  <c r="E17" i="20"/>
  <c r="D17" i="20"/>
  <c r="C17" i="20"/>
  <c r="AA16" i="20"/>
  <c r="I16" i="20"/>
  <c r="U16" i="20"/>
  <c r="H16" i="20"/>
  <c r="O16" i="20"/>
  <c r="G16" i="20"/>
  <c r="E16" i="20"/>
  <c r="D16" i="20"/>
  <c r="C16" i="20"/>
  <c r="C15" i="20"/>
  <c r="C22" i="20"/>
  <c r="AA15" i="20"/>
  <c r="I15" i="20"/>
  <c r="I22" i="20"/>
  <c r="U15" i="20"/>
  <c r="O15" i="20"/>
  <c r="G15" i="20"/>
  <c r="E15" i="20"/>
  <c r="D15" i="20"/>
  <c r="F15" i="20"/>
  <c r="Z12" i="20"/>
  <c r="Z23" i="20"/>
  <c r="Z24" i="20"/>
  <c r="Z25" i="20"/>
  <c r="Y12" i="20"/>
  <c r="X12" i="20"/>
  <c r="T12" i="20"/>
  <c r="N12" i="20"/>
  <c r="N23" i="20"/>
  <c r="M12" i="20"/>
  <c r="L12" i="20"/>
  <c r="AA11" i="20"/>
  <c r="I11" i="20"/>
  <c r="O11" i="20"/>
  <c r="G11" i="20"/>
  <c r="E11" i="20"/>
  <c r="D11" i="20"/>
  <c r="C11" i="20"/>
  <c r="AA10" i="20"/>
  <c r="I10" i="20"/>
  <c r="H10" i="20"/>
  <c r="O10" i="20"/>
  <c r="G10" i="20"/>
  <c r="E10" i="20"/>
  <c r="D10" i="20"/>
  <c r="C10" i="20"/>
  <c r="F10" i="20"/>
  <c r="AA9" i="20"/>
  <c r="I9" i="20"/>
  <c r="E9" i="20"/>
  <c r="D9" i="20"/>
  <c r="C9" i="20"/>
  <c r="AA8" i="20"/>
  <c r="O8" i="20"/>
  <c r="G8" i="20"/>
  <c r="E8" i="20"/>
  <c r="D8" i="20"/>
  <c r="C8" i="20"/>
  <c r="AA7" i="20"/>
  <c r="I7" i="20"/>
  <c r="O7" i="20"/>
  <c r="G7" i="20"/>
  <c r="E7" i="20"/>
  <c r="C7" i="20"/>
  <c r="D7" i="20"/>
  <c r="F7" i="20"/>
  <c r="AA6" i="20"/>
  <c r="I6" i="20"/>
  <c r="O6" i="20"/>
  <c r="E6" i="20"/>
  <c r="E5" i="20"/>
  <c r="E12" i="20"/>
  <c r="D6" i="20"/>
  <c r="C6" i="20"/>
  <c r="AA5" i="20"/>
  <c r="I5" i="20"/>
  <c r="O5" i="20"/>
  <c r="G5" i="20"/>
  <c r="D5" i="20"/>
  <c r="D12" i="20"/>
  <c r="C5" i="20"/>
  <c r="L23" i="20"/>
  <c r="X23" i="20"/>
  <c r="X24" i="20"/>
  <c r="X25" i="20"/>
  <c r="F11" i="20"/>
  <c r="Y23" i="20"/>
  <c r="F18" i="20"/>
  <c r="AA22" i="20"/>
  <c r="F8" i="20"/>
  <c r="M23" i="20"/>
  <c r="M24" i="20"/>
  <c r="T23" i="20"/>
  <c r="F9" i="20"/>
  <c r="F16" i="20"/>
  <c r="F20" i="20"/>
  <c r="F17" i="20"/>
  <c r="R25" i="20"/>
  <c r="N24" i="20"/>
  <c r="T24" i="20"/>
  <c r="T25" i="20"/>
  <c r="D45" i="36"/>
  <c r="E45" i="37"/>
  <c r="C45" i="36"/>
  <c r="C46" i="36"/>
  <c r="F27" i="36"/>
  <c r="D11" i="44"/>
  <c r="D15" i="44"/>
  <c r="E16" i="45"/>
  <c r="E25" i="45"/>
  <c r="F25" i="45"/>
  <c r="E20" i="45"/>
  <c r="D38" i="36"/>
  <c r="E19" i="45"/>
  <c r="E18" i="45"/>
  <c r="D46" i="36"/>
  <c r="D24" i="45"/>
  <c r="D15" i="45"/>
  <c r="D14" i="45"/>
  <c r="D11" i="45"/>
  <c r="D12" i="45"/>
  <c r="D13" i="45"/>
  <c r="D10" i="45"/>
  <c r="D7" i="45"/>
  <c r="C37" i="36"/>
  <c r="D16" i="45"/>
  <c r="E47" i="36"/>
  <c r="R12" i="54"/>
  <c r="R16" i="54"/>
  <c r="R15" i="54"/>
  <c r="D4" i="52"/>
  <c r="C57" i="43"/>
  <c r="G33" i="43"/>
  <c r="D34" i="43"/>
  <c r="F11" i="44"/>
  <c r="F15" i="44"/>
  <c r="F13" i="44"/>
  <c r="D35" i="43"/>
  <c r="C7" i="45"/>
  <c r="F19" i="28"/>
  <c r="F20" i="28"/>
  <c r="C8" i="45"/>
  <c r="F8" i="45"/>
  <c r="C11" i="45"/>
  <c r="F11" i="45"/>
  <c r="C12" i="45"/>
  <c r="F12" i="45"/>
  <c r="C13" i="45"/>
  <c r="F13" i="45"/>
  <c r="F10" i="45"/>
  <c r="D32" i="32"/>
  <c r="C45" i="27"/>
  <c r="C46" i="27"/>
  <c r="E63" i="31"/>
  <c r="F26" i="28"/>
  <c r="C44" i="28"/>
  <c r="C45" i="28"/>
  <c r="G29" i="28"/>
  <c r="F27" i="28"/>
  <c r="D13" i="44"/>
  <c r="G12" i="52"/>
  <c r="C32" i="32"/>
  <c r="F32" i="32"/>
  <c r="F31" i="32"/>
  <c r="E57" i="32"/>
  <c r="D33" i="32"/>
  <c r="F30" i="32"/>
  <c r="E14" i="44"/>
  <c r="C64" i="30"/>
  <c r="C54" i="30"/>
  <c r="C63" i="30"/>
  <c r="F40" i="30"/>
  <c r="H11" i="52"/>
  <c r="D38" i="31"/>
  <c r="D39" i="31"/>
  <c r="C56" i="31"/>
  <c r="D56" i="28"/>
  <c r="C30" i="28"/>
  <c r="C33" i="32"/>
  <c r="F33" i="32"/>
  <c r="F29" i="28"/>
  <c r="E13" i="44"/>
  <c r="D45" i="29"/>
  <c r="F20" i="45"/>
  <c r="F38" i="38"/>
  <c r="D42" i="30"/>
  <c r="H10" i="52"/>
  <c r="C42" i="30"/>
  <c r="C43" i="30"/>
  <c r="C61" i="30"/>
  <c r="D57" i="30"/>
  <c r="F38" i="30"/>
  <c r="D68" i="30"/>
  <c r="F28" i="36"/>
  <c r="F29" i="36"/>
  <c r="F21" i="28"/>
  <c r="F22" i="28"/>
  <c r="C35" i="38"/>
  <c r="C38" i="38"/>
  <c r="G10" i="52"/>
  <c r="E57" i="33"/>
  <c r="E58" i="33"/>
  <c r="D43" i="30"/>
  <c r="E43" i="37"/>
  <c r="Y24" i="20"/>
  <c r="Y25" i="20"/>
  <c r="F21" i="20"/>
  <c r="E22" i="20"/>
  <c r="E23" i="20"/>
  <c r="S24" i="20"/>
  <c r="S25" i="20"/>
  <c r="E22" i="24"/>
  <c r="E23" i="24"/>
  <c r="L24" i="20"/>
  <c r="L25" i="20"/>
  <c r="F35" i="24"/>
  <c r="F34" i="24"/>
  <c r="F35" i="31"/>
  <c r="I8" i="20"/>
  <c r="I12" i="20"/>
  <c r="I23" i="20"/>
  <c r="F30" i="28"/>
  <c r="C31" i="28"/>
  <c r="F31" i="28"/>
  <c r="F22" i="24"/>
  <c r="F23" i="24"/>
  <c r="D22" i="24"/>
  <c r="D23" i="24"/>
  <c r="M25" i="20"/>
  <c r="C12" i="20"/>
  <c r="C23" i="20"/>
  <c r="F5" i="20"/>
  <c r="F6" i="20"/>
  <c r="F12" i="20"/>
  <c r="AA12" i="20"/>
  <c r="AA23" i="20"/>
  <c r="F22" i="32"/>
  <c r="C43" i="43"/>
  <c r="C43" i="32"/>
  <c r="C46" i="32"/>
  <c r="G31" i="32"/>
  <c r="C51" i="39"/>
  <c r="F39" i="30"/>
  <c r="C57" i="30"/>
  <c r="F26" i="43"/>
  <c r="C22" i="24"/>
  <c r="C23" i="24"/>
  <c r="E6" i="24"/>
  <c r="F26" i="27"/>
  <c r="F35" i="27"/>
  <c r="F36" i="27"/>
  <c r="F71" i="36"/>
  <c r="C64" i="36"/>
  <c r="C71" i="36"/>
  <c r="G36" i="36"/>
  <c r="O12" i="20"/>
  <c r="G6" i="20"/>
  <c r="F4" i="25"/>
  <c r="F24" i="25"/>
  <c r="F27" i="31"/>
  <c r="F28" i="31"/>
  <c r="C54" i="27"/>
  <c r="C55" i="27"/>
  <c r="E37" i="36"/>
  <c r="G12" i="20"/>
  <c r="N25" i="20"/>
  <c r="F22" i="20"/>
  <c r="F23" i="20"/>
  <c r="G17" i="20"/>
  <c r="G22" i="20"/>
  <c r="O22" i="20"/>
  <c r="O23" i="20"/>
  <c r="C47" i="37"/>
  <c r="C48" i="37"/>
  <c r="I22" i="52"/>
  <c r="F82" i="33"/>
  <c r="D46" i="32"/>
  <c r="F42" i="27"/>
  <c r="C67" i="30"/>
  <c r="F34" i="37"/>
  <c r="C71" i="33"/>
  <c r="D60" i="36"/>
  <c r="D52" i="27"/>
  <c r="C47" i="36"/>
  <c r="H8" i="20"/>
  <c r="E8" i="24"/>
  <c r="H22" i="52"/>
  <c r="C49" i="38"/>
  <c r="G24" i="38"/>
  <c r="D70" i="37"/>
  <c r="F29" i="43"/>
  <c r="F68" i="43"/>
  <c r="D47" i="36"/>
  <c r="H15" i="20"/>
  <c r="H22" i="20"/>
  <c r="U22" i="20"/>
  <c r="U23" i="20"/>
  <c r="D26" i="25"/>
  <c r="F3" i="25"/>
  <c r="C5" i="25"/>
  <c r="C4" i="25"/>
  <c r="C3" i="25"/>
  <c r="F36" i="36"/>
  <c r="C38" i="36"/>
  <c r="C19" i="45"/>
  <c r="F16" i="38"/>
  <c r="F17" i="38"/>
  <c r="D52" i="31"/>
  <c r="C77" i="27"/>
  <c r="D22" i="20"/>
  <c r="D23" i="20"/>
  <c r="F21" i="38"/>
  <c r="F34" i="31"/>
  <c r="C24" i="20"/>
  <c r="C25" i="20"/>
  <c r="C44" i="43"/>
  <c r="C45" i="43"/>
  <c r="C60" i="31"/>
  <c r="C63" i="31"/>
  <c r="G37" i="31"/>
  <c r="F63" i="31"/>
  <c r="H23" i="52"/>
  <c r="E34" i="43"/>
  <c r="F33" i="43"/>
  <c r="E38" i="31"/>
  <c r="E39" i="31"/>
  <c r="H12" i="20"/>
  <c r="E25" i="38"/>
  <c r="F24" i="38"/>
  <c r="I19" i="52"/>
  <c r="C75" i="27"/>
  <c r="E38" i="36"/>
  <c r="F37" i="36"/>
  <c r="F41" i="30"/>
  <c r="I10" i="52"/>
  <c r="E42" i="30"/>
  <c r="E43" i="30"/>
  <c r="F43" i="30"/>
  <c r="F42" i="30"/>
  <c r="I24" i="20"/>
  <c r="I25" i="20"/>
  <c r="F37" i="31"/>
  <c r="G18" i="52"/>
  <c r="U24" i="20"/>
  <c r="U25" i="20"/>
  <c r="C21" i="45"/>
  <c r="C75" i="33"/>
  <c r="C65" i="30"/>
  <c r="C68" i="30"/>
  <c r="G41" i="30"/>
  <c r="F68" i="30"/>
  <c r="F23" i="32"/>
  <c r="F24" i="32"/>
  <c r="C23" i="45"/>
  <c r="F23" i="45"/>
  <c r="G22" i="52"/>
  <c r="F19" i="45"/>
  <c r="H23" i="20"/>
  <c r="D50" i="27"/>
  <c r="F41" i="27"/>
  <c r="E11" i="44"/>
  <c r="E15" i="44"/>
  <c r="E16" i="44"/>
  <c r="O24" i="20"/>
  <c r="O25" i="20"/>
  <c r="AA24" i="20"/>
  <c r="AA25" i="20"/>
  <c r="F25" i="25"/>
  <c r="F26" i="25"/>
  <c r="F38" i="36"/>
  <c r="G23" i="20"/>
  <c r="S11" i="54"/>
  <c r="C38" i="31"/>
  <c r="C39" i="31"/>
  <c r="E24" i="20"/>
  <c r="E25" i="20"/>
  <c r="D24" i="20"/>
  <c r="D25" i="20"/>
  <c r="F24" i="20"/>
  <c r="F25" i="20"/>
  <c r="E78" i="27"/>
  <c r="F29" i="31"/>
  <c r="F30" i="31"/>
  <c r="C24" i="25"/>
  <c r="C25" i="25"/>
  <c r="C26" i="25"/>
  <c r="H24" i="20"/>
  <c r="H25" i="20"/>
  <c r="E35" i="43"/>
  <c r="F35" i="43"/>
  <c r="F34" i="43"/>
  <c r="E26" i="38"/>
  <c r="F26" i="38"/>
  <c r="F25" i="38"/>
  <c r="D53" i="27"/>
  <c r="F50" i="27"/>
  <c r="G11" i="52"/>
  <c r="C10" i="45"/>
  <c r="F38" i="31"/>
  <c r="F39" i="31"/>
  <c r="G24" i="20"/>
  <c r="G25" i="20"/>
  <c r="D45" i="27"/>
  <c r="D46" i="27"/>
  <c r="C11" i="44"/>
  <c r="C15" i="44"/>
  <c r="D54" i="27"/>
  <c r="D55" i="27"/>
  <c r="C33" i="28"/>
  <c r="F34" i="30"/>
  <c r="F35" i="30"/>
  <c r="E70" i="34"/>
  <c r="E26" i="52"/>
  <c r="E27" i="52"/>
  <c r="C26" i="52"/>
  <c r="C27" i="52"/>
  <c r="D26" i="52"/>
  <c r="D27" i="52"/>
  <c r="F25" i="52"/>
  <c r="O7" i="52"/>
  <c r="C26" i="54"/>
  <c r="C27" i="54"/>
  <c r="E13" i="54"/>
  <c r="E4" i="54"/>
  <c r="N13" i="54"/>
  <c r="E17" i="54"/>
  <c r="M19" i="54"/>
  <c r="E25" i="54"/>
  <c r="J19" i="52"/>
  <c r="O19" i="52"/>
  <c r="J10" i="52"/>
  <c r="O10" i="52"/>
  <c r="J9" i="54"/>
  <c r="B27" i="54"/>
  <c r="L9" i="54"/>
  <c r="R11" i="54"/>
  <c r="I11" i="52"/>
  <c r="H12" i="52"/>
  <c r="J12" i="52"/>
  <c r="O12" i="52"/>
  <c r="I18" i="52"/>
  <c r="J18" i="52"/>
  <c r="M18" i="54"/>
  <c r="H24" i="52"/>
  <c r="K9" i="54"/>
  <c r="R7" i="54"/>
  <c r="G9" i="52"/>
  <c r="I24" i="52"/>
  <c r="S12" i="54"/>
  <c r="C35" i="32"/>
  <c r="C46" i="43"/>
  <c r="F26" i="52"/>
  <c r="F27" i="52"/>
  <c r="E26" i="54"/>
  <c r="E27" i="54"/>
  <c r="J24" i="52"/>
  <c r="O24" i="52"/>
  <c r="O18" i="52"/>
  <c r="R10" i="54"/>
  <c r="J11" i="52"/>
  <c r="I9" i="52"/>
  <c r="H9" i="52"/>
  <c r="R18" i="54"/>
  <c r="O11" i="52"/>
  <c r="J9" i="52"/>
  <c r="O9" i="52"/>
  <c r="E27" i="38"/>
  <c r="F36" i="37"/>
  <c r="D46" i="37"/>
  <c r="D47" i="37"/>
  <c r="D48" i="37"/>
  <c r="C67" i="37"/>
  <c r="C70" i="37"/>
  <c r="G36" i="37"/>
  <c r="E46" i="37"/>
  <c r="E47" i="37"/>
  <c r="T19" i="54"/>
  <c r="U7" i="54"/>
  <c r="U20" i="54"/>
  <c r="U14" i="54"/>
  <c r="D35" i="32"/>
  <c r="C56" i="27"/>
  <c r="V18" i="54"/>
  <c r="I16" i="54"/>
  <c r="F54" i="50"/>
  <c r="I7" i="54"/>
  <c r="F33" i="28"/>
  <c r="F46" i="43"/>
  <c r="T18" i="54"/>
  <c r="Q13" i="54"/>
  <c r="U21" i="54"/>
  <c r="I11" i="54"/>
  <c r="Q17" i="54"/>
  <c r="I12" i="54"/>
  <c r="F35" i="32"/>
  <c r="V19" i="54"/>
  <c r="S19" i="54"/>
  <c r="U24" i="54"/>
  <c r="P17" i="54"/>
  <c r="T24" i="54"/>
  <c r="I15" i="54"/>
  <c r="F49" i="34"/>
  <c r="D45" i="30"/>
  <c r="U12" i="54"/>
  <c r="I10" i="54"/>
  <c r="T20" i="54"/>
  <c r="N17" i="54"/>
  <c r="J22" i="52"/>
  <c r="O22" i="52"/>
  <c r="D9" i="45"/>
  <c r="D6" i="45"/>
  <c r="V22" i="54"/>
  <c r="R22" i="54"/>
  <c r="U23" i="54"/>
  <c r="F24" i="45"/>
  <c r="S23" i="54"/>
  <c r="J23" i="52"/>
  <c r="M23" i="54"/>
  <c r="V23" i="54"/>
  <c r="V7" i="54"/>
  <c r="F41" i="31"/>
  <c r="V11" i="54"/>
  <c r="I6" i="54"/>
  <c r="F9" i="54"/>
  <c r="G9" i="54"/>
  <c r="T9" i="54"/>
  <c r="E49" i="36"/>
  <c r="I17" i="54"/>
  <c r="H17" i="54"/>
  <c r="F17" i="54"/>
  <c r="G13" i="54"/>
  <c r="I14" i="54"/>
  <c r="F60" i="33"/>
  <c r="C41" i="31"/>
  <c r="D41" i="31"/>
  <c r="S22" i="54"/>
  <c r="F8" i="44"/>
  <c r="F16" i="44"/>
  <c r="G17" i="54"/>
  <c r="D56" i="27"/>
  <c r="U22" i="54"/>
  <c r="S10" i="54"/>
  <c r="I8" i="54"/>
  <c r="F48" i="29"/>
  <c r="U10" i="54"/>
  <c r="T7" i="54"/>
  <c r="H9" i="54"/>
  <c r="U9" i="54"/>
  <c r="T21" i="54"/>
  <c r="H13" i="54"/>
  <c r="U11" i="54"/>
  <c r="F13" i="54"/>
  <c r="F70" i="29"/>
  <c r="E45" i="29"/>
  <c r="E46" i="29"/>
  <c r="I8" i="52"/>
  <c r="E9" i="45"/>
  <c r="E6" i="45"/>
  <c r="H8" i="52"/>
  <c r="H5" i="52"/>
  <c r="T8" i="54"/>
  <c r="D5" i="45"/>
  <c r="E70" i="29"/>
  <c r="D46" i="29"/>
  <c r="K5" i="54"/>
  <c r="U8" i="54"/>
  <c r="F52" i="27"/>
  <c r="F14" i="44"/>
  <c r="E53" i="27"/>
  <c r="F43" i="27"/>
  <c r="F44" i="27"/>
  <c r="F37" i="27"/>
  <c r="F38" i="27"/>
  <c r="I6" i="52"/>
  <c r="M6" i="54"/>
  <c r="U6" i="54"/>
  <c r="F7" i="45"/>
  <c r="C71" i="27"/>
  <c r="C78" i="27"/>
  <c r="G44" i="27"/>
  <c r="E45" i="27"/>
  <c r="E46" i="27"/>
  <c r="C81" i="33"/>
  <c r="S14" i="54"/>
  <c r="F46" i="33"/>
  <c r="F47" i="33"/>
  <c r="F48" i="33"/>
  <c r="I14" i="52"/>
  <c r="F15" i="45"/>
  <c r="F14" i="45"/>
  <c r="F56" i="33"/>
  <c r="F57" i="33"/>
  <c r="F58" i="33"/>
  <c r="C79" i="33"/>
  <c r="C60" i="34"/>
  <c r="E71" i="34"/>
  <c r="D68" i="34"/>
  <c r="F43" i="34"/>
  <c r="F42" i="34"/>
  <c r="D64" i="34"/>
  <c r="C70" i="34"/>
  <c r="F71" i="34"/>
  <c r="F44" i="34"/>
  <c r="F34" i="34"/>
  <c r="F35" i="34"/>
  <c r="F36" i="34"/>
  <c r="F37" i="34"/>
  <c r="F56" i="27"/>
  <c r="V12" i="54"/>
  <c r="F45" i="30"/>
  <c r="V10" i="54"/>
  <c r="R23" i="54"/>
  <c r="R17" i="54"/>
  <c r="O23" i="52"/>
  <c r="H4" i="54"/>
  <c r="H25" i="54"/>
  <c r="H26" i="54"/>
  <c r="H27" i="54"/>
  <c r="G4" i="54"/>
  <c r="G25" i="54"/>
  <c r="G26" i="54"/>
  <c r="G27" i="54"/>
  <c r="T5" i="54"/>
  <c r="I13" i="54"/>
  <c r="S9" i="54"/>
  <c r="I9" i="54"/>
  <c r="V9" i="54"/>
  <c r="F4" i="54"/>
  <c r="F25" i="54"/>
  <c r="E5" i="45"/>
  <c r="E26" i="45"/>
  <c r="E27" i="45"/>
  <c r="L5" i="54"/>
  <c r="U5" i="54"/>
  <c r="F45" i="27"/>
  <c r="F46" i="27"/>
  <c r="E54" i="27"/>
  <c r="E55" i="27"/>
  <c r="C14" i="44"/>
  <c r="F53" i="27"/>
  <c r="V6" i="54"/>
  <c r="J6" i="52"/>
  <c r="I5" i="52"/>
  <c r="E82" i="33"/>
  <c r="D57" i="33"/>
  <c r="D58" i="33"/>
  <c r="C82" i="33"/>
  <c r="G56" i="33"/>
  <c r="G14" i="52"/>
  <c r="T14" i="54"/>
  <c r="M14" i="54"/>
  <c r="H14" i="52"/>
  <c r="J14" i="52"/>
  <c r="O14" i="52"/>
  <c r="D46" i="34"/>
  <c r="D47" i="34"/>
  <c r="T15" i="54"/>
  <c r="H15" i="52"/>
  <c r="E46" i="34"/>
  <c r="E47" i="34"/>
  <c r="C64" i="34"/>
  <c r="D71" i="34"/>
  <c r="C68" i="34"/>
  <c r="C46" i="34"/>
  <c r="F45" i="34"/>
  <c r="F26" i="54"/>
  <c r="F27" i="54"/>
  <c r="I4" i="54"/>
  <c r="I25" i="54"/>
  <c r="I26" i="54"/>
  <c r="I27" i="54"/>
  <c r="E28" i="45"/>
  <c r="F54" i="27"/>
  <c r="F55" i="27"/>
  <c r="O6" i="52"/>
  <c r="R14" i="54"/>
  <c r="R13" i="54"/>
  <c r="V14" i="54"/>
  <c r="C71" i="34"/>
  <c r="G36" i="34"/>
  <c r="G15" i="52"/>
  <c r="S15" i="54"/>
  <c r="M15" i="54"/>
  <c r="I15" i="52"/>
  <c r="U15" i="54"/>
  <c r="C47" i="34"/>
  <c r="F47" i="34"/>
  <c r="F46" i="34"/>
  <c r="V15" i="54"/>
  <c r="J15" i="52"/>
  <c r="O15" i="52"/>
  <c r="F30" i="37"/>
  <c r="E48" i="37"/>
  <c r="H20" i="52"/>
  <c r="H17" i="52"/>
  <c r="M20" i="54"/>
  <c r="V20" i="54"/>
  <c r="K17" i="54"/>
  <c r="T17" i="54"/>
  <c r="D21" i="45"/>
  <c r="D18" i="45"/>
  <c r="D26" i="45"/>
  <c r="L17" i="54"/>
  <c r="U17" i="54"/>
  <c r="I20" i="52"/>
  <c r="I17" i="52"/>
  <c r="E17" i="44"/>
  <c r="E18" i="44"/>
  <c r="F21" i="45"/>
  <c r="D28" i="45"/>
  <c r="D27" i="45"/>
  <c r="N20" i="52"/>
  <c r="L17" i="52"/>
  <c r="S20" i="54"/>
  <c r="C18" i="53"/>
  <c r="C66" i="50"/>
  <c r="E74" i="50"/>
  <c r="E19" i="53"/>
  <c r="D49" i="50"/>
  <c r="D50" i="50"/>
  <c r="C16" i="53"/>
  <c r="F48" i="50"/>
  <c r="F21" i="50"/>
  <c r="F40" i="50"/>
  <c r="F41" i="50"/>
  <c r="F42" i="50"/>
  <c r="C7" i="53"/>
  <c r="C20" i="53"/>
  <c r="C8" i="53"/>
  <c r="C6" i="53"/>
  <c r="C74" i="50"/>
  <c r="E49" i="50"/>
  <c r="L16" i="54"/>
  <c r="F22" i="53"/>
  <c r="E15" i="53"/>
  <c r="E77" i="50"/>
  <c r="E21" i="53"/>
  <c r="C76" i="50"/>
  <c r="C70" i="50"/>
  <c r="D77" i="50"/>
  <c r="E50" i="50"/>
  <c r="E51" i="50"/>
  <c r="C49" i="50"/>
  <c r="K16" i="54"/>
  <c r="D19" i="53"/>
  <c r="D15" i="53"/>
  <c r="F46" i="50"/>
  <c r="F49" i="50"/>
  <c r="F77" i="50"/>
  <c r="E12" i="53"/>
  <c r="C10" i="53"/>
  <c r="F12" i="53"/>
  <c r="D21" i="53"/>
  <c r="C17" i="53"/>
  <c r="C31" i="53"/>
  <c r="C9" i="53"/>
  <c r="O26" i="54"/>
  <c r="O27" i="54"/>
  <c r="F17" i="44"/>
  <c r="F18" i="44"/>
  <c r="Q5" i="54"/>
  <c r="Q4" i="54"/>
  <c r="Q25" i="54"/>
  <c r="N4" i="54"/>
  <c r="N25" i="54"/>
  <c r="P4" i="54"/>
  <c r="P25" i="54"/>
  <c r="C7" i="44"/>
  <c r="D7" i="44"/>
  <c r="C33" i="39"/>
  <c r="C25" i="39"/>
  <c r="C5" i="53"/>
  <c r="D5" i="44"/>
  <c r="D8" i="44"/>
  <c r="D16" i="44"/>
  <c r="C8" i="44"/>
  <c r="C16" i="44"/>
  <c r="C22" i="45"/>
  <c r="F17" i="39"/>
  <c r="F18" i="39"/>
  <c r="D11" i="53"/>
  <c r="C11" i="53"/>
  <c r="D40" i="39"/>
  <c r="C37" i="39"/>
  <c r="C67" i="29"/>
  <c r="C63" i="29"/>
  <c r="C69" i="29"/>
  <c r="C70" i="29"/>
  <c r="G44" i="29"/>
  <c r="F44" i="29"/>
  <c r="F37" i="29"/>
  <c r="F38" i="29"/>
  <c r="C9" i="45"/>
  <c r="C45" i="29"/>
  <c r="C46" i="29"/>
  <c r="J20" i="52"/>
  <c r="O20" i="52"/>
  <c r="E22" i="53"/>
  <c r="E23" i="53"/>
  <c r="E24" i="53"/>
  <c r="E25" i="53"/>
  <c r="C19" i="53"/>
  <c r="C33" i="53"/>
  <c r="C30" i="53"/>
  <c r="F23" i="53"/>
  <c r="F24" i="53"/>
  <c r="F25" i="53"/>
  <c r="C32" i="53"/>
  <c r="C21" i="53"/>
  <c r="C34" i="53"/>
  <c r="C15" i="53"/>
  <c r="D51" i="50"/>
  <c r="D22" i="53"/>
  <c r="C77" i="50"/>
  <c r="G31" i="50"/>
  <c r="M16" i="52"/>
  <c r="M13" i="52"/>
  <c r="M4" i="52"/>
  <c r="M25" i="52"/>
  <c r="M26" i="52"/>
  <c r="M27" i="52"/>
  <c r="L13" i="54"/>
  <c r="U16" i="54"/>
  <c r="I16" i="52"/>
  <c r="I13" i="52"/>
  <c r="I4" i="52"/>
  <c r="I25" i="52"/>
  <c r="I26" i="52"/>
  <c r="I27" i="52"/>
  <c r="L16" i="52"/>
  <c r="L13" i="52"/>
  <c r="L4" i="52"/>
  <c r="L25" i="52"/>
  <c r="L26" i="52"/>
  <c r="L27" i="52"/>
  <c r="H16" i="52"/>
  <c r="H13" i="52"/>
  <c r="H4" i="52"/>
  <c r="H25" i="52"/>
  <c r="H26" i="52"/>
  <c r="H27" i="52"/>
  <c r="T16" i="54"/>
  <c r="K13" i="54"/>
  <c r="F50" i="50"/>
  <c r="F51" i="50"/>
  <c r="C50" i="50"/>
  <c r="C51" i="50"/>
  <c r="J16" i="54"/>
  <c r="N26" i="54"/>
  <c r="N27" i="54"/>
  <c r="Q26" i="54"/>
  <c r="Q27" i="54"/>
  <c r="P26" i="54"/>
  <c r="P27" i="54"/>
  <c r="C40" i="39"/>
  <c r="G25" i="39"/>
  <c r="C26" i="39"/>
  <c r="C27" i="39"/>
  <c r="J21" i="54"/>
  <c r="C18" i="44"/>
  <c r="C17" i="44"/>
  <c r="D18" i="44"/>
  <c r="D17" i="44"/>
  <c r="F22" i="45"/>
  <c r="F18" i="45"/>
  <c r="C18" i="45"/>
  <c r="C12" i="53"/>
  <c r="D12" i="53"/>
  <c r="M8" i="54"/>
  <c r="J5" i="54"/>
  <c r="K8" i="52"/>
  <c r="S8" i="54"/>
  <c r="G8" i="52"/>
  <c r="C6" i="45"/>
  <c r="F9" i="45"/>
  <c r="F6" i="45"/>
  <c r="F45" i="29"/>
  <c r="F46" i="29"/>
  <c r="C22" i="53"/>
  <c r="C23" i="53"/>
  <c r="C24" i="53"/>
  <c r="C25" i="53"/>
  <c r="D23" i="53"/>
  <c r="D24" i="53"/>
  <c r="D25" i="53"/>
  <c r="C29" i="53"/>
  <c r="C35" i="53"/>
  <c r="C36" i="53"/>
  <c r="C37" i="53"/>
  <c r="K16" i="52"/>
  <c r="J13" i="54"/>
  <c r="S13" i="54"/>
  <c r="G16" i="52"/>
  <c r="S16" i="54"/>
  <c r="T13" i="54"/>
  <c r="T4" i="54"/>
  <c r="K4" i="54"/>
  <c r="K25" i="54"/>
  <c r="M16" i="54"/>
  <c r="U13" i="54"/>
  <c r="U4" i="54"/>
  <c r="L4" i="54"/>
  <c r="L25" i="54"/>
  <c r="M21" i="54"/>
  <c r="S21" i="54"/>
  <c r="K21" i="52"/>
  <c r="G21" i="52"/>
  <c r="J17" i="54"/>
  <c r="S17" i="54"/>
  <c r="C5" i="45"/>
  <c r="C26" i="45"/>
  <c r="S5" i="54"/>
  <c r="G5" i="52"/>
  <c r="J8" i="52"/>
  <c r="R8" i="54"/>
  <c r="V8" i="54"/>
  <c r="M5" i="54"/>
  <c r="F26" i="45"/>
  <c r="F5" i="45"/>
  <c r="K5" i="52"/>
  <c r="N8" i="52"/>
  <c r="S4" i="54"/>
  <c r="J4" i="54"/>
  <c r="J25" i="54"/>
  <c r="J26" i="54"/>
  <c r="S26" i="54"/>
  <c r="J16" i="52"/>
  <c r="G13" i="52"/>
  <c r="G4" i="52"/>
  <c r="T25" i="54"/>
  <c r="K26" i="54"/>
  <c r="T26" i="54"/>
  <c r="L26" i="54"/>
  <c r="U26" i="54"/>
  <c r="U25" i="54"/>
  <c r="K13" i="52"/>
  <c r="N13" i="52"/>
  <c r="N16" i="52"/>
  <c r="V16" i="54"/>
  <c r="M13" i="54"/>
  <c r="V13" i="54"/>
  <c r="G17" i="52"/>
  <c r="J21" i="52"/>
  <c r="N21" i="52"/>
  <c r="N17" i="52"/>
  <c r="K17" i="52"/>
  <c r="V21" i="54"/>
  <c r="M17" i="54"/>
  <c r="V17" i="54"/>
  <c r="N5" i="52"/>
  <c r="O8" i="52"/>
  <c r="J5" i="52"/>
  <c r="C28" i="45"/>
  <c r="C27" i="45"/>
  <c r="R5" i="54"/>
  <c r="R4" i="54"/>
  <c r="R25" i="54"/>
  <c r="V5" i="54"/>
  <c r="F27" i="45"/>
  <c r="F28" i="45"/>
  <c r="G25" i="52"/>
  <c r="G26" i="52"/>
  <c r="G27" i="52"/>
  <c r="V4" i="54"/>
  <c r="N4" i="52"/>
  <c r="M4" i="54"/>
  <c r="M25" i="54"/>
  <c r="M26" i="54"/>
  <c r="V26" i="54"/>
  <c r="K4" i="52"/>
  <c r="K25" i="52"/>
  <c r="K26" i="52"/>
  <c r="K27" i="52"/>
  <c r="L27" i="54"/>
  <c r="U27" i="54"/>
  <c r="K27" i="54"/>
  <c r="T27" i="54"/>
  <c r="O16" i="52"/>
  <c r="J13" i="52"/>
  <c r="O13" i="52"/>
  <c r="S25" i="54"/>
  <c r="O21" i="52"/>
  <c r="J17" i="52"/>
  <c r="O17" i="52"/>
  <c r="N25" i="52"/>
  <c r="N26" i="52"/>
  <c r="N27" i="52"/>
  <c r="R26" i="54"/>
  <c r="R27" i="54"/>
  <c r="O5" i="52"/>
  <c r="J27" i="54"/>
  <c r="S27" i="54"/>
  <c r="J4" i="52"/>
  <c r="O4" i="52"/>
  <c r="V25" i="54"/>
  <c r="M27" i="54"/>
  <c r="V27" i="54"/>
  <c r="J25" i="52"/>
  <c r="O25" i="52"/>
  <c r="O26" i="52"/>
  <c r="O27" i="52"/>
  <c r="J26" i="52"/>
  <c r="J27" i="52"/>
</calcChain>
</file>

<file path=xl/sharedStrings.xml><?xml version="1.0" encoding="utf-8"?>
<sst xmlns="http://schemas.openxmlformats.org/spreadsheetml/2006/main" count="1858" uniqueCount="373">
  <si>
    <t>Description</t>
  </si>
  <si>
    <t>Total</t>
  </si>
  <si>
    <t>FAO</t>
  </si>
  <si>
    <t>UNDP</t>
  </si>
  <si>
    <t>UNEP</t>
  </si>
  <si>
    <t>1. Total Country Programme TA</t>
  </si>
  <si>
    <t>Africa</t>
  </si>
  <si>
    <t>Cote d'Ivoire</t>
  </si>
  <si>
    <t>Republic of Congo</t>
  </si>
  <si>
    <t>Zambia</t>
  </si>
  <si>
    <t>Asia</t>
  </si>
  <si>
    <t>Indonesia</t>
  </si>
  <si>
    <t>Myanmar</t>
  </si>
  <si>
    <t>Viet Nam</t>
  </si>
  <si>
    <t>LAC</t>
  </si>
  <si>
    <t>Colombia</t>
  </si>
  <si>
    <t>Mexico</t>
  </si>
  <si>
    <t>Peru</t>
  </si>
  <si>
    <t>2. Global Knowledge Management</t>
  </si>
  <si>
    <t>Landscapes Approach </t>
  </si>
  <si>
    <t>Private Sector Engagement </t>
  </si>
  <si>
    <t>Tenure &amp; IP Engagement</t>
  </si>
  <si>
    <t>MRV Platform </t>
  </si>
  <si>
    <t>REDD+ &amp; SDGs &amp; Paris Agreement </t>
  </si>
  <si>
    <t>National REDD+ Funding Mechanisms</t>
  </si>
  <si>
    <t>Cross-cutting &amp; Coordination</t>
  </si>
  <si>
    <t>Programme cost</t>
  </si>
  <si>
    <t>Indirect support costs</t>
  </si>
  <si>
    <t xml:space="preserve">Total </t>
  </si>
  <si>
    <t>UN-REDD PROGRAMME 2018 - 2020 WORK PLAN AND BUDGET - CONSOLIDATED IN USD</t>
  </si>
  <si>
    <t>Outcome 2: National contributions to the mitigation of climate change though REDD+ are measured, reported and verified with the necessary institutional arrangements in place</t>
  </si>
  <si>
    <t>Budget categories</t>
  </si>
  <si>
    <t>Staff and other personnel costs</t>
  </si>
  <si>
    <t>Supplies, Commodities, Materials</t>
  </si>
  <si>
    <t>Equipment, Vehicles and furniture including Depreciation</t>
  </si>
  <si>
    <t>Contractual Services</t>
  </si>
  <si>
    <t>Travel</t>
  </si>
  <si>
    <t>General Operating and Other Direct Costs</t>
  </si>
  <si>
    <t>Sub-total</t>
  </si>
  <si>
    <t>Outcome 3: Drivers of deforestation and forest degradation are addressed through the implementation of policies and measures (results-based actions), with social and environmental safeguards addressed and respected</t>
  </si>
  <si>
    <t>Total Programme cost</t>
  </si>
  <si>
    <t>Indirect support cost 7%</t>
  </si>
  <si>
    <t>Grand Total</t>
  </si>
  <si>
    <t>CATEGORY</t>
  </si>
  <si>
    <t>ITEM DESCRIPTION</t>
  </si>
  <si>
    <t>UNIT COST</t>
  </si>
  <si>
    <t>NUMBER OF UNITS</t>
  </si>
  <si>
    <t>AMOUNT**</t>
  </si>
  <si>
    <t>- </t>
  </si>
  <si>
    <t>Programme Costs</t>
  </si>
  <si>
    <t>Indirect Support costs***</t>
  </si>
  <si>
    <t>GRAND TOTAL**</t>
  </si>
  <si>
    <t>UN-REDD PROGRAMME 2018 - 2020 WORK PLAN AND BUDGET -USD (GLOBAL consolidated)</t>
  </si>
  <si>
    <t>Transfers and Grants to Counterparts</t>
  </si>
  <si>
    <t>UN-REDD PROGRAMME 2018 WORK PLAN AND BUDGET - CONSOLIDATED AT OUTCOME LEVEL (USD)</t>
  </si>
  <si>
    <t>UN-REDD Programme 2018 Budget by country/Region and Agency (USD)</t>
  </si>
  <si>
    <t xml:space="preserve">Summary </t>
  </si>
  <si>
    <t>indirect support</t>
  </si>
  <si>
    <t>Outcome 3</t>
  </si>
  <si>
    <t>TOTAL 2019</t>
  </si>
  <si>
    <t>TOTAL</t>
  </si>
  <si>
    <t>u</t>
  </si>
  <si>
    <t xml:space="preserve">Rubriques du budget </t>
  </si>
  <si>
    <t>Dépenses personnel et autres frais de personnel</t>
  </si>
  <si>
    <t>Fournitures, produits de base, matériel</t>
  </si>
  <si>
    <t>Équipement, véhicules et mobilier incluant amortissement</t>
  </si>
  <si>
    <t>Services contractuels</t>
  </si>
  <si>
    <t>Voyage</t>
  </si>
  <si>
    <t>Transferts et subventions aux contreparties</t>
  </si>
  <si>
    <t>Frais généraux de fonctionnement et autres coûts directs</t>
  </si>
  <si>
    <t>TOTAL 2020</t>
  </si>
  <si>
    <t>PNUD</t>
  </si>
  <si>
    <t>PNUE</t>
  </si>
  <si>
    <t>Rubriques du budget</t>
  </si>
  <si>
    <t>Sous-total</t>
  </si>
  <si>
    <t>Total dépenses du programme</t>
  </si>
  <si>
    <t>Coûts appui indirects 7%</t>
  </si>
  <si>
    <t xml:space="preserve">Dépenses du programme </t>
  </si>
  <si>
    <t>Coûts appui indirect***</t>
  </si>
  <si>
    <t>1. Total Programme AT des pays</t>
  </si>
  <si>
    <t>Afrique</t>
  </si>
  <si>
    <t>Côte d'Ivoire</t>
  </si>
  <si>
    <t>République du Congo</t>
  </si>
  <si>
    <t>Zambie</t>
  </si>
  <si>
    <t>Asie</t>
  </si>
  <si>
    <t>Indonésie</t>
  </si>
  <si>
    <t>Colombie</t>
  </si>
  <si>
    <t>Mexique</t>
  </si>
  <si>
    <t>Pérou</t>
  </si>
  <si>
    <t>2. Gestion des connaissances mondiales</t>
  </si>
  <si>
    <t>Engagement du secteur privé</t>
  </si>
  <si>
    <t>Engagement foncier et peuples autochtones</t>
  </si>
  <si>
    <t>Plateforme MNV</t>
  </si>
  <si>
    <t>REDD+ et ODD et Accord de Paris </t>
  </si>
  <si>
    <t>Mécanismes de financement REDD+ des pays</t>
  </si>
  <si>
    <t>Activités transversales et coordination</t>
  </si>
  <si>
    <t>Coûts appui indirect</t>
  </si>
  <si>
    <t>2018 (selon approbation lors du CA-1)</t>
  </si>
  <si>
    <t>2019 (selon approbation lors du CA-2)</t>
  </si>
  <si>
    <t>2020 (selon les contributions des agences en fév.-mai 2019)</t>
  </si>
  <si>
    <t>Engagement secteur privé</t>
  </si>
  <si>
    <t xml:space="preserve">REDD+ et ODD et Accord de Paris </t>
  </si>
  <si>
    <t>2019 tel qu'approuvé au CA-2</t>
  </si>
  <si>
    <t>2020 tel qu'approuvé au CA-1</t>
  </si>
  <si>
    <t>Ajustements par agence</t>
  </si>
  <si>
    <t xml:space="preserve">Budget national de la Colombie par catégorie GNUD et agence des Nations Unies </t>
  </si>
  <si>
    <t>Produits attendus</t>
  </si>
  <si>
    <t>Activités indicatives</t>
  </si>
  <si>
    <t>Agence ONU responsable</t>
  </si>
  <si>
    <t>Allocation des ressources</t>
  </si>
  <si>
    <t>Montant</t>
  </si>
  <si>
    <t xml:space="preserve">3.6 La Colombie consolide et met en œuvre les systèmes nationaux de surveillance des forêts, comme requis dans toutes les phases de REDD+, en soumettant des niveaux de référence conformes aux exigences internationales de la CCNUCC, alignés sur le NS/AP pour REDD+ et pour soutenir l'exécution des politiques et mesures. </t>
  </si>
  <si>
    <t>Activités de suivi pour donner suite aux résultats de l'évaluation NERF/NRF de la CCNUCC.</t>
  </si>
  <si>
    <t>Assistance technique en vue du rapport sur les émissions AFOLU, en appui au plan d'amélioration des inventaires, en complément du soutien existant dans le cadre du CBIT.</t>
  </si>
  <si>
    <t>Continuer à soutenir l'IDEAM dans le suivi des communautés et son articulation avec le SNMF, et en incluant des synergies avec la foresterie communautaire à partir des premiers enseignements tirés des projets pilotes démarrés en 2018 et 2019.</t>
  </si>
  <si>
    <t xml:space="preserve">3.7 Mécanismes participatifs fonctionnels et efficaces pour discuter des options politiques et aborder les questions relatives aux forêts et à REDD+, avec différentes parties prenantes rurales (par ex.: populations autochtones, peuples afro-colombiens, communautés forestières).
</t>
  </si>
  <si>
    <t>Partager les expériences et les enseignements tirés de la conception des modèles de gouvernance de la foresterie communautaire, en particulier dans le contexte de l'après-conflit entre les principaux acteurs en Colombie.</t>
  </si>
  <si>
    <t>3.10 Analyse du rapport coût-efficacité des PAM REDD+ prioritaires.</t>
  </si>
  <si>
    <t xml:space="preserve">Coûts appui indirect 7% </t>
  </si>
  <si>
    <t xml:space="preserve">Dépenses totales </t>
  </si>
  <si>
    <t xml:space="preserve">Synthèse </t>
  </si>
  <si>
    <t xml:space="preserve">Appui indirect </t>
  </si>
  <si>
    <t xml:space="preserve">Tel que budgétisé dans le plan de travail et budget 2018-2020 </t>
  </si>
  <si>
    <t>Voyages</t>
  </si>
  <si>
    <t xml:space="preserve">Résultat 3: Les contributions de REDD+ à l'atténuation du changement climatique sont mises en œuvre et garanties par des politiques et mesures qui constituent les activités basées sur les résultats (RBA), incluant l'élaboration d'arrangements institutionnels appropriés et efficaces. </t>
  </si>
  <si>
    <t>Assistance technique et formation pour mettre en œuvre les engagements du secteur productif conformément aux exigences de la CCNUCC en ce qui concerne la REDD+ et la CDN (méthodologies, documents, webinaires ou ateliers d'échange).</t>
  </si>
  <si>
    <t>Assistance technique pour l'articulation avec l'Initiative des gouverneurs du climat (GCFTF), le FC2A et la Déclaration de New York sur les forêts (le cas échéant).</t>
  </si>
  <si>
    <t>Assistance technique à la mise en œuvre, au suivi et à l’élaboration des rapports des activités de la DCI/groupes ethniques.</t>
  </si>
  <si>
    <t>Poursuite des activités de renforcement des capacités avec les groupes ethniques et le MADS à la demande.</t>
  </si>
  <si>
    <t>Assistance technique pour la mise en œuvre de processus de participation avec des organisations autochtones et d’ascendance africaine à la mise en œuvre d'une stratégie à court, moyen et long terme pour l'atténuation de la déforestation.</t>
  </si>
  <si>
    <t>Soutien au DBBSE et au SEP dans les dialogues lors d’accords avec des organisations autochtones, noires et paysannes concernant la conservation, l’atténuation de la déforestation et la gestion des forêts.</t>
  </si>
  <si>
    <t>Examen et recommandations techniques sur la mise en œuvre de projets pilotes de foresterie communautaire par la FAO et d'autres parties prenantes incluses dans le plan de foresterie communautaire (départements et municipalités à confirmer).</t>
  </si>
  <si>
    <t>Poursuivre le soutien à la formulation de la proposition de paiements basés sur les résultats pour REDD au Fonds vert pour le climat.</t>
  </si>
  <si>
    <t>Assistance technique pour la mise en œuvre des processus de participation avec les organisations autochtones et d'ascendance africaine pour la mise en œuvre d'un programme de restauration en 2020.</t>
  </si>
  <si>
    <t>Assistance technique pour l'amélioration et le renforcement continus du système d'information sur les garanties et du système de garanties nationales.</t>
  </si>
  <si>
    <t>Webinaire sur l'utilisation d'informations sur l'utilisation d'informations géographiques sur de multiples avantages pour soutenir la mise en œuvre de la stratégie de contrôle intégré des forêts et de déforestation (EICDGB, en espagnol).</t>
  </si>
  <si>
    <t>Conseils techniques pour la préparation de résumés d'informations sur les garanties.</t>
  </si>
  <si>
    <t>Assistance technique pour la mise en œuvre des instruments de garanties en Colombie (avec le PNUD).</t>
  </si>
  <si>
    <t>Assistance technique au renforcement de la réglementation liée aux marchés de l’atténuation des émissions et au développement du secteur forestier commercial.</t>
  </si>
  <si>
    <t>Budget national de la Côte d'Ivoire par produit, catégorie GNUD et agence des Nations Unies (USD)</t>
  </si>
  <si>
    <t xml:space="preserve">2.1 Un SNSF consolidé et opérationnel, avec un inventaire forestier national complet, un système de surveillance terrestre par satellite et un système d'inventaire des GES. </t>
  </si>
  <si>
    <t>Résultat global</t>
  </si>
  <si>
    <t xml:space="preserve">3.1 Conception, évaluation et adoption des politiques et mesures REDD+ dans tous les secteurs, et leur intégration dans les contributions nationales en matière d'atténuation du climat (ou CDN).
</t>
  </si>
  <si>
    <t>3.2 Nouveaux textes juridiques rédigés et prêts à être adoptés pour améliorer la gouvernance forestière et fournir un cadre favorable à la mise en œuvre de REDD+ dans tous les secteurs.</t>
  </si>
  <si>
    <t>Sous total</t>
  </si>
  <si>
    <t>3.3  Mécanismes des parties prenantes fonctionnelles pour étayer et suivre les actions et les financements de REDD+.</t>
  </si>
  <si>
    <t>3.5 Modèles productifs et commerciaux pour une agriculture sans déforestation.</t>
  </si>
  <si>
    <t>BUDGET 2020 (version provisoire finale 20 Mai 2019)</t>
  </si>
  <si>
    <t>Préparer des recommandations et des considérations pour le processus de révision du CDN, en tenant compte du soutien existant (Mécanisme d’appui aux CDN, Partenariat pour les CDN et CBIT).</t>
  </si>
  <si>
    <t>Dépenses totales</t>
  </si>
  <si>
    <t>Surveillance des changements forestiers pour la période 2015-2018.</t>
  </si>
  <si>
    <t xml:space="preserve">Développement d’une NERF/NRF révisée à l’aide de données d’activités mises à jour. </t>
  </si>
  <si>
    <t>Soutenir le GES-I pour AFOLU.</t>
  </si>
  <si>
    <t>Conseils techniques pour un mécanisme financier national pouvant étayer et fusionner un large éventail d’investissements et de financements REDD+.</t>
  </si>
  <si>
    <t>Soutien aux options préliminaires et aux financements pour le cacao conforme à REDD+ (production et commercialisation), en Côte d'Ivoire et au Ghana, y compris de nouveaux partenariats de financement, la coopération Sud-Sud et des approches juridictionnelles durables.</t>
  </si>
  <si>
    <t>Élaboration de textes juridiques liés à REDD+ pour la nouvelle loi forestière (activité débutant en 2019 mais susceptible de se poursuivre en 2020 en raison du calendrier d'approbation de la nouvelle loi forestière).</t>
  </si>
  <si>
    <t>Achèvement et création des nouveaux mécanismes/stratégies des parties prenantes pour soutenir la mise en œuvre des politiques, programmes et investissements REDD+.</t>
  </si>
  <si>
    <t>Soutien à la société civile et aux parties prenantes de la communauté forestière pour transmettre des informations pour le rapport d'information sur les garanties à la CCNUCC et la mise en place du Système national d'information sur les garanties (en liaison avec le produit 3.4).</t>
  </si>
  <si>
    <t xml:space="preserve"> Appuyer le pays à élaborer le deuxième sommaire des informations sur les garanties et à les soumettre à la CCNUCC.</t>
  </si>
  <si>
    <t>Renforcement de la plateforme de dialogue et de la coordination avec les parties prenantes autour de modèles commerciaux optimaux pour un système d'agroforesterie durable et pour le développement de chaînes de valeur.</t>
  </si>
  <si>
    <t>Opérationnaliser un partenariat pour mobiliser des fonds pour développer l’agroforesterie.</t>
  </si>
  <si>
    <t>Renforcer les relations avec les parties prenantes publiques concernées (Ministères des forêts, de l'agriculture et des finances, ainsi que le Conseil café cacao) afin de créer des conditions favorables au financement de l'agroforesterie.</t>
  </si>
  <si>
    <t xml:space="preserve">Budget national de l'Indonésie par produit, catégorie GNUD et agence des Nations Unies (USD) </t>
  </si>
  <si>
    <t xml:space="preserve">2.2 Amélioration des systèmes nationaux de surveillance des forêts et soumission des niveaux de référence conformément aux exigences de la CCNUCC. 
</t>
  </si>
  <si>
    <t>3.11 Conception technique de politiques efficaces et réalisables de gestion des tourbières et des feux de forêt.</t>
  </si>
  <si>
    <t>3.12 Amélioration de la coordination et des capacités institutionnelles pour le SNSF.</t>
  </si>
  <si>
    <t xml:space="preserve">3.13 Options et éléments techniques et institutionnels pour soutenir le financement de REDD+.
</t>
  </si>
  <si>
    <t xml:space="preserve">Coûts d'appui indirect 7% </t>
  </si>
  <si>
    <t>Synthèse</t>
  </si>
  <si>
    <t>Dépenses du programme</t>
  </si>
  <si>
    <t xml:space="preserve">Tel que budgétisé dans plan de travail et budget 2018-2020 </t>
  </si>
  <si>
    <t>Soutenir le travail de GoI sur l'amélioration des facteurs d'émission afin de réduire les incertitudes (par ex. la tourbe et le feu) et combler les lacunes (par ex. concernant mangroves) dans un atelier.</t>
  </si>
  <si>
    <t>Un atelier multi-agences dirigé par le GoI pour coordonner les rôles et contributions des agences nationales au SNSF.</t>
  </si>
  <si>
    <t xml:space="preserve">Conseils au gouvernement et aux partenaires sur le plan d'investissement pour l'instrument de financement national sur REDD+.
</t>
  </si>
  <si>
    <t>Examen des programmes REDD+ et des propositions de financement au Fonds national pour l'environnement (BLU).</t>
  </si>
  <si>
    <t>Conseils pour la conception de l'instrument de financement pour REDD+.</t>
  </si>
  <si>
    <t>Approche par grappes pour les politiques de gestion intégrée des incendies.</t>
  </si>
  <si>
    <t>Soutien pour la participation au CORSIA et assistance technique SIS REDD.</t>
  </si>
  <si>
    <t>Améliorer les capacités de cartographie des incendies avec une résolution plus élevée et des retours d’informations plus rapides aux responsables des politiques et aux responsables de terrain, en personnalisant les algorithmes existants pour les zones incendiées et brûlées.</t>
  </si>
  <si>
    <t>Renforcer la gestion durable des tourbières et relier le secrétariat provisoire du CITT à la plateforme de connaissances du réseau mondial, y compris l'initiative GPI/Global Peatland.</t>
  </si>
  <si>
    <t xml:space="preserve">Budget national du Mexique par catégorie GNUD et agence des Nations Unies </t>
  </si>
  <si>
    <t>3.14 Options de financement pour atteindre les objectifs CDN et objectifs d'ENAREDD (incluant sources privées et publiques, et assurer l'alignement des politiques).</t>
  </si>
  <si>
    <t>Total résultat</t>
  </si>
  <si>
    <t xml:space="preserve">3.15 Le système national de garanties est opérationnel et un résumé actualisé des informations relatives aux garanties est soumis à la CCNUCC.
</t>
  </si>
  <si>
    <t xml:space="preserve">3.16 Les options pour le financement du secteur privé et l'inclusion de REDD+ dans les marchés du carbone au Mexique ont été identifiées et évaluées.
</t>
  </si>
  <si>
    <t>Résultat 2: Les contributions des pays à l’atténuation du changement climatique au travers de REDD+ sont mesurées, notifiées et vérifiées et les accords institutionnels nécessaires sont en place.</t>
  </si>
  <si>
    <t>3.9 Les politiques et mesures REDD+ sont associées à des mesures de garantie et sont notifiées à la CCNUCC.</t>
  </si>
  <si>
    <t>Résultat 2: Les contributions des pays à l’atténuation du changement climatique au travers de REDD+ sont mesurées, notifiées et vérifiées et les arrangements institutionnels nécessaires sont en place.</t>
  </si>
  <si>
    <t>3.17 La coopération Sud-Sud sur les exigences relatives aux SNSF et MNV s'est élargie et la capacité accrue du SNSF et du SNMRV à répondre aux exigences multiples en matière de rapports et à s'aligner sur la CCNUCC.</t>
  </si>
  <si>
    <t>Échanges Sud-Sud dans la mise en œuvre de REDD+, la facilitation des paiements fondés sur les résultats et l'application du plan de répartition des bénéfices (avec la FAO et le PNUE).</t>
  </si>
  <si>
    <t>Support technique pour structurer un outil de dette (bonus forestier/obligation verte).</t>
  </si>
  <si>
    <t>Analyse et élaboration de propositions de financement privé (marché des capitaux et marchés du carbone) pour un développement rural à faibles émissions de carbone.</t>
  </si>
  <si>
    <t xml:space="preserve"> Analyse de l’architecture financière pour la gestion des paiements potentiels basés sur les résultats reposant sur les meilleures pratiques.</t>
  </si>
  <si>
    <t>Appui à l'identification des actions priorisées dans la stratégie de financement pour la gestion intégrée du territoire du Mexique (avec le PNUE).</t>
  </si>
  <si>
    <t>Communiquer les informations sur la mise en œuvre de la GCFT (l’équipe de gouverneurs pour le climat et les forêts) à Jalisco, Yucatan, Quintana Roo, Campeche, Tabasco, Chiapas et Oaxaca, à la CONAFOR et faciliter l'articulation avec ENAREDD+ (encourager la participation de CONAFOR au Secrétariat et à la coordination régionale).</t>
  </si>
  <si>
    <t>Examen et retour d'informations de la composante garanties dans les propositions de financement basés sur les résultats.</t>
  </si>
  <si>
    <t>Conseils pour le modèle de la section du bulletin d’information du SIS avec en langue des citoyens.</t>
  </si>
  <si>
    <t>Appui à la conception et à la production de rapports sur les indicateurs SIS et à leur amélioration continue.</t>
  </si>
  <si>
    <t>Appui à l’élaboration et au retour d’informations du résumé d’informations sur les garanties suivant.</t>
  </si>
  <si>
    <t>Accompagnement dans les plateformes de participation (le Comité consultatif technique de REDD+ et le Comité technique sur le changement climatique et les forêts de la CONAF) pour renforcer le plan de distribution des avantages.</t>
  </si>
  <si>
    <t>Sur la base de l'intégration des données réalisée sous le produit 3.17, développer une analyse préliminaire des facteurs de la déforestation et de l'influence des politiques publiques sur le progrès des activités REDD+, en identifiant des recommandations de politiques.</t>
  </si>
  <si>
    <t>Contributions à la discussion technique pour le développement de l'Annexe technique REDD+ pour BUR 3</t>
  </si>
  <si>
    <t>Assistance technique pour la mise à l'échelle technique au niveau national des outils SEPAL (apprentissage automatique)</t>
  </si>
  <si>
    <t>Soutenir l’élaboration, la mise en œuvre et l'évaluation des actions REDD+ à l’aide du Système national de surveillance des forêts, en particulier au niveau infranational, en créant les capacités pour l'utilisation des outils SEPAL (alertes rapides)</t>
  </si>
  <si>
    <t>Contribuer à l’élaboration d'un système d'information intégré et à l'identification d'options méthodologiques pour l'analyse actualisée des facteurs de déforestation et de l'impact des politiques publiques sur l'avancement des activités REDD+</t>
  </si>
  <si>
    <t>Suivi du processus de restructuration du CEVMF et de la diffusion de ses actions aux niveaux national et international</t>
  </si>
  <si>
    <t>Appui au renforcement des réseaux d'experts en matière de surveillance des forêts (sur la base du réseau de recherche CONAFOR)</t>
  </si>
  <si>
    <t>Mise en œuvre du Plan de travail de la coopération Sud-Sud (troisième phase)</t>
  </si>
  <si>
    <t>Budget national du Myanmar par produit, catégorie GNUD et agence des Nations Unies (USD)</t>
  </si>
  <si>
    <t>2.3. Le  SNSF capable de mesurer la dégradation et la restauration des forêts.</t>
  </si>
  <si>
    <t>Renforcer le SNSF existant au moyen d’activités d’appui spécifiques, comme suit:
1. Établir un protocole pour normaliser les classifications forestières afin de faciliter, à l’avenir, les mesures de la dégradation et de la restauration des forêts;
2. Créer une base de données spatiale grâce à laquelle les plantations stables forêts/non forestières, les pertes/acquis forestiers et les arbres hors forêt peuvent être identifiés de manière fiable à travers les images satellites.
3. Réduire les incertitudes liées au parti pris humain dans l’évaluation de l’échantillon;
4. Raffinement des données d'activité en fonction des facteurs provoquant des changements sur les forêts. 
Les activités énumérées ci-dessus aideront le Myanmar à mettre à jour ses donnés d’activité en adoptant une approche progressive d’amélioration. Les résultats soutiendront les activités en cours du NFI en matière de stratification et de planification préalable. En outre, cela facilitera la révision de NERF/NRF.
La révision de la NERF/NRF et le développement d'une méthodologie pour une mesure simplifiée des changements dans les forêts restant forêt sont aussi prévus.</t>
  </si>
  <si>
    <t xml:space="preserve">Apporter un appui aux processus d'engagement des parties prenantes en mettant fortement l'accent sur le FPIC et le GRM et en rassemblant les enseignements tirés qui en découlent pour informer les politiques nationales et concevoir des outils politiques pertinents. </t>
  </si>
  <si>
    <t>Apporter un appui à la révision des plans de gestion forestière de district</t>
  </si>
  <si>
    <t>Un ensemble de dispositions techniques, institutionnelles, financières et juridiques pour la mise en œuvre de REDD+ aux niveaux national et infranational</t>
  </si>
  <si>
    <t>3.19 La capacité à suivre les actions REDD+ pour faciliter la gestion adaptative de la stratégie REDD+</t>
  </si>
  <si>
    <t>3.20 Le système d'information sur les garanties REDD+ est opérationnel</t>
  </si>
  <si>
    <t>Appui à l'élaboration et/ou la mise en œuvre d'accords/de protocoles de partage d'informations</t>
  </si>
  <si>
    <t>Soutien pour le premier cycle de collecte et de traitement des informations pour le SIS</t>
  </si>
  <si>
    <t>3.21 Arrangements politiques et techniques pour harmoniser les différents flux REDD+ dans le pays (par ex., CF, DCI, GCF).</t>
  </si>
  <si>
    <t>Contribuer avec des apports techniques pour mettre en œuvre les composantes 1.1 et 1.2 du produit a de la Phase II de la DCI.</t>
  </si>
  <si>
    <t>Fournir une assistance technique pour réajuster la conception des protocoles pour faciliter la mise en œuvre du SNIFFS et de ses modules et pour contribuer à la mise en œuvre de ces modules.</t>
  </si>
  <si>
    <t>Fournir un soutien technique et des recommandations pour améliorer le GES-I pour le secteur UTCATF et le NERF/NRF du Pérou.</t>
  </si>
  <si>
    <t>Fournir un soutien technique pour mettre à jour le NERF/NRF du Pérou, ainsi que l'UTCATF et les mesures CDN dans le secteur agricole.</t>
  </si>
  <si>
    <t>Renforcement des capacités institutionnelles en matière garanties et d’opérations du SIS</t>
  </si>
  <si>
    <t>Apporter des contributions techniques à la finalisation de l'annexe technique REDD+ et au soutien du processus de révision technique de la CCNUCC, ainsi que pour permettre l'évaluation des résultats des PAM, en termes de réduction des émissions et de comptabilisation CDN.</t>
  </si>
  <si>
    <t>Apporter des contributions techniques pour appuyer les discussions sur l'élaboration de politiques pour les forêts et le changement climatique</t>
  </si>
  <si>
    <t>Donner des conseils sur l’exécution globale du plan de mise en œuvre de la phase II de la DCI, en contribuant aux termes de référence et aux produits servant à accomplir les résultats attendus de la phase II de la DCI; et assister et participer à des séances de travail et à des réunions spécialisées avec les parties prenantes concernées.</t>
  </si>
  <si>
    <t>Apporter des contributions techniques à la cohérence des systèmes de distribution des bénéfices discutés pour les programmes de RBP auxquels le Pérou participe (en coordination avec les activités liées aux garanties soutenues par le PNUE).</t>
  </si>
  <si>
    <t>Contribuer aux discussions sur la mise en place de conditions favorables pour renforcer l'engagement des parties prenantes dans les actions liées à la mise en œuvre des mesures DCN de UTCATF.</t>
  </si>
  <si>
    <t>Fournir des apports techniques pour le développement/l’amélioration du GRM du Pérou, conformément au cadre juridique national, aux politiques et normes sociales et environnementales opérationnelles des institutions financières et aux garanties REDD+ (en coordination avec les activités liées aux garanties appuyées par le PNUE).</t>
  </si>
  <si>
    <t>Contribuer à l'engagement et à la participation des IP à la mise en œuvre des PAM de REDD+ et des CDN/UTCATF, en tenant compte du cadre juridique national et des garanties REDD+, ainsi que des politiques et normes sociales et environnementales opérationnelles des institutions financières.</t>
  </si>
  <si>
    <t>Fournir des commentaires et des apports techniques pour la définition des mesures CDN/UTCAFF au Pérou et pour contribuer à la prise de décision dans la CDN - GTM.</t>
  </si>
  <si>
    <t>Fournir des apports techniques pour faciliter les discussions et la prise de décision dans le contexte du cadre de gestion intégré du CC pour la mise en œuvre des DCN/UTCATF au Pérou (avec le soutien de la FAO).</t>
  </si>
  <si>
    <t>3.22 Les contributions du Pérou pour atténuer le changement climatique par le biais de REDD+ sont conformément mesurées et notifiées au cours de toutes les phases de REDD+ et associées aux mesures d'atténuation des émissions concernées et aux arrangements institutionnels nécessaires existants.</t>
  </si>
  <si>
    <t>3.23 Capacités techniques pour le développement de modèles de déforestation géographiquement explicites.</t>
  </si>
  <si>
    <t>3.24 Options d'engagement du secteur privé pour la mise en œuvre des PAM REDD+, dans le cadre des CDN.</t>
  </si>
  <si>
    <t>3.25 La conception et la mise en œuvre du système d'information sur les garanties sont renforcées.</t>
  </si>
  <si>
    <t>Aucune activité prévue en 2020.</t>
  </si>
  <si>
    <t xml:space="preserve"> Contribuer à l'engagement du secteur financier en examinant les options de financement pour les modèles d'entreprise agricole.</t>
  </si>
  <si>
    <t>Fournir une assistance technique pour l'analyse et le développement de modèles commerciaux agricoles, préparés pour la DCI.</t>
  </si>
  <si>
    <t>Fournir un appui technique pour le réajustement et l'amélioration continue du SIS du Pérou, en mettant l'accent sur les approches et les bonnes pratiques d'autres pays et en veillant à la cohérence avec les directives de la CCNUCC.</t>
  </si>
  <si>
    <t>Fournir un appui technique à l’élaboration de directives pour l’élaboration, la mise à jour et l’amélioration continue du sommaire des informations du Pérou sur les garanties.</t>
  </si>
  <si>
    <t xml:space="preserve">Résultat 3: Les contributions de REDD+ à l'atténuation du changement climatique mises en œuvre et garanties par des politiques et mesures qui constituent les activités basées sur les résultats (RBA), incluant l'élaboration d'arrangements institutionnels appropriés et efficaces. </t>
  </si>
  <si>
    <t>Résultat 3: Les contributions de REDD+ à l'atténuation du changement climatique mises en œuvre et garanties par des politiques et mesures qui constituent les activités basées sur les résultats (RBA), incluant l'élaboration d'arrangements institutionnels appropriés et efficaces.</t>
  </si>
  <si>
    <t>3.26 Les politiques et mesures REDD+ sont conçues et adoptées, les financements étant mobilisés pour leur mise en œuvre.</t>
  </si>
  <si>
    <t>Formalisation des arrangements institutionnels en matière de déclaration des émissions de GES des activités REDD+.</t>
  </si>
  <si>
    <t>2.6 Décision du MARD sur les SNSF, y compris sur les procédures de MNV et suivi.</t>
  </si>
  <si>
    <t>3.27 Divers acteurs gouvernementaux, économiques et provinciaux participent aux politiques et mesures de REDD+ au Viet Nam.</t>
  </si>
  <si>
    <t>3.28 Système de mise en œuvre et de suivi provincial et REDD+ mis à l'essai, examiné et intégré aux décisions du gouvernement.</t>
  </si>
  <si>
    <t>Dans le cadre des échanges de connaissances entre les pays de la sous-région du bas-Mékong, fournir des informations sur les enveloppes d'intervention REDD+.</t>
  </si>
  <si>
    <t>Documentation des procédures MVN.</t>
  </si>
  <si>
    <t>Mise à jour et nouvelle soumission potentielles de la NERF/NRF si et selon les besoins  (selon les (résultats de l'exercice de cartographie en cours).</t>
  </si>
  <si>
    <t>Fournir des conseils et des orientations politiques pour appuyer la planification intégrée de l'utilisation des terres intégrant la foresterie.</t>
  </si>
  <si>
    <t>Fournir des conseils techniques aux responsables de la mise en œuvre de la REDD + afin pouvoir assurer le suivi-évaluation de la réalisation de la REDD+.</t>
  </si>
  <si>
    <t>Suivi du PRAP intégré à un système de suivi-évaluation NRAP plus large.</t>
  </si>
  <si>
    <t>Résultats du suivi mis à la disposition des décideurs.</t>
  </si>
  <si>
    <t>2.4 Systèmes nationaux de surveillance des forêts améliorés et niveaux de référence notifiés conformes aux exigences de la CCNUCC.</t>
  </si>
  <si>
    <t>3.29 REDD+ intégré dans les secteurs clés identifiés dans le 7e Plan de développement national pour faciliter la mobilisation des ressources et les investissements pour soutenir les approches intégrées de la mise en œuvre de REDD+.</t>
  </si>
  <si>
    <t>3.31 Système d'information sur les garanties REDD+ conçu et opérationnel.</t>
  </si>
  <si>
    <t>Appui à l'élaboration de la proposition de plan d'investissement REDD+.</t>
  </si>
  <si>
    <t>Appui technique pour préparer la Zambie à la préparation d'une annexe technique dans le cadre de sa soumission BUR en 2020.</t>
  </si>
  <si>
    <t xml:space="preserve">
Le NERF/NRF révisé est élaboré (y compris les mises à jour des données d'activité et des facteurs d'émission, ainsi que l'inclusion de la dégradation des forêts et de meilleurs détails au niveau infranational.)
La capacité institutionnelle sur les SNSF et le NERF/NRF s'est développée grâce à la poursuite des travaux sur la surveillance des forêts nationales et sur le NERF/NRF.</t>
  </si>
  <si>
    <t>Participation du Département des forêts aux webinaires régionaux en 2020 et aux mesures de suivi nécessaires et à l’identification des possibilités offertes par la REDD+ dans le contexte des CND, du Cadre de transparence renforcée (ETF) et/ou de l'Article 6 de l’Accord de Paris. (Référence au résultat 3.39)</t>
  </si>
  <si>
    <t>Assistance technique aux idées de projets liés à AFOLU élaborées dans le cadre du programme actuel de soutien aux CDN de la Zambie en vue d’identifier cinq mesures d’atténuation. (30 idées de projets seront élaborées dans 10 provinces et celles liées à AFOLU seront examinées et appuyées).</t>
  </si>
  <si>
    <t>Budget national de la Zambie par produit, catégorie GNUD et agence des Nations Unies (USD)</t>
  </si>
  <si>
    <t>Budget national du Viet Nam par produit, catégorie GNUD et agence des Nations Unies (USD)</t>
  </si>
  <si>
    <t>Budget national de la Rép. du Congo par produit, catégorie GNUD et agence des Nations Unies (USD)</t>
  </si>
  <si>
    <t>Budget national du Pérou par produit, catégorie GNUD et agence des Nations Unies (USD)</t>
  </si>
  <si>
    <t>Approche fondée sur les paysages et leur planification   Budget par produit, catégorie GNUD et agence des Nations Unies (USD)</t>
  </si>
  <si>
    <t>Approche fondée sur les paysages</t>
  </si>
  <si>
    <t>2.10  Renforcement de certaines approches/outils méthodologiques sur le suivi et identification de l'évaluation et du rôle des SNSF dans les scénarios de paysage contribuant à l'atténuation du changement climatique.</t>
  </si>
  <si>
    <t>3.36 Les déclencheurs de changement transformationnel dans l'utilisation des terres sont identifiés et des outils/pratiques sélectionnés sont adaptés au contexte REDD+.</t>
  </si>
  <si>
    <t>3.37 La sensibilisation mondiale au changement transformationnel à l'intersection entre l’agriculture et la foresterie pour contribuer à la mise en œuvre de REDD+ est accrue.</t>
  </si>
  <si>
    <t xml:space="preserve">3.38 Outils de meilleures pratiques et matériels de formation sur l'intégration des bénéfices sociaux, économiques et environnementaux dans la conception de REDD+ par le biais de la planification intégrée de l'utilisation des terres.
</t>
  </si>
  <si>
    <t>Développer et fournir du matériel de formation technique.</t>
  </si>
  <si>
    <t>Outils adaptés au contexte de REDD+, qui facilitent des synergies plus fortes et aident à résoudre les conflits entre, notamment, l'agriculture et l'utilisation des terres forestières.</t>
  </si>
  <si>
    <t>FPoursuivre l’élaboration du changement transformationnel dans les secteurs d’utilisation des terres et d’études de cas sur la preuve de solutions efficaces pour faciliter les facteurs déclencheurs de changement transformationnel et sur comment aborder les obstacles.</t>
  </si>
  <si>
    <t>Notes d’informations/matériels de gestion des connaissances sur les facteurs déclencheurs, les moteurs et les obstacles de transitions aux solutions intégrées et holistiques requises pour les paysages.</t>
  </si>
  <si>
    <t>Engager les parties prenantes, en présentant les résultats liés aux facteurs déclencheurs, aux moteurs et aux obstacles de transitions aux solutions intégrées et holistiques pour les paysages.</t>
  </si>
  <si>
    <t>Appuyer les pays partenaires en matière de planification intégrée de l'utilisation des terres, en réalisant des études de cas d’exemples réussis et les mettre à la disposition d'autres pays.</t>
  </si>
  <si>
    <t xml:space="preserve"> 3.34 L’«analyse de rentabilisation» pour que le secteur privé s'engage dans la REDD+  est constituée et diffusée publiquement.</t>
  </si>
  <si>
    <t>Fournir aux pays partenaires d'ONU-REDD 2 cas d'analyses de rentabilisation appuyant une plus grande inclusion de l'action du secteur privé dans la conception des PAM de REDD+.</t>
  </si>
  <si>
    <t>Dialogues avec des institutions financières et d'autres entreprises pour qu’elles ne souscrivent à aucune déforestation ou à ne prendre aucun engagement similaire.</t>
  </si>
  <si>
    <t xml:space="preserve">3.35 Les institutions financières multiplient les prêts ou investissements dans des projets et entreprises qui dissocient la déforestation des activités productives.
</t>
  </si>
  <si>
    <t>Produire 4 études de cas sur les partenariats public-privé pour promouvoir des investissements accrus dans les activités productives sans déforestation.</t>
  </si>
  <si>
    <t>Consultations avec des institutions financières pour discuter des options de prêt ou d'investissement pour dissocier la déforestation des activités productives.</t>
  </si>
  <si>
    <t>Développer des cadres environnementaux et sociaux pour les facilités de financement privé contribuant à REDD+.</t>
  </si>
  <si>
    <t>Financement et secteur privé   Budget par produit, catégorie GNUD et agence des Nations Unies (USD)</t>
  </si>
  <si>
    <t>Régimes fonciers forestiers et droits des peuples autochtones   Budget par catégorie GNUD et agence de l'ONU</t>
  </si>
  <si>
    <t>2.9 Renforcement des outils sélectionnés permettant la collecte et la cartographie des données et des informations relatives aux systèmes de régimes fonciers et leur intégration dans REDD+.</t>
  </si>
  <si>
    <t>3.4.2 Des produits/outils de connaissance (y compris un pôle de connaissances) sur le rôle des systèmes de régimes fonciers pour aborder les facteurs de déforestation et de dégradation des forêts sont préparés, rassemblés et diffusés.</t>
  </si>
  <si>
    <t>Améliorer l'outil de démarcation et de réglementation des régimes fonciers et cibler le contexte REDD+.</t>
  </si>
  <si>
    <t>Appuyer les pays partenaires à acquérir de l'expérience sur l'utilisation des outils de du régime foncier forestier.</t>
  </si>
  <si>
    <t>Une note d'orientation sur la réforme juridique dans le contexte du régime foncier et de REDD+, comprenant des exemples de pays et les leçons apprises, est préparée et présentée lors d'un événement de dialogue international sur les régimes fonciers.</t>
  </si>
  <si>
    <t>Une plateforme foncière/gouvernance forestière est opérationnelle et partage des pratiques de gestion foncière dans le contexte de REDD+ en matière de PBR, y compris le rôle des peuples autochtones (séance de discussion spécifique et webinaires organisés).</t>
  </si>
  <si>
    <t>Appui aux nouvelles législations et institutions nationales qui font progresser les droits des peuples autochtones dans la gouvernance des forêts (par ex.: protocoles FPIC, politique d'utilisation des terres, plateformes nationales des peuples autochtones).</t>
  </si>
  <si>
    <t>Soutien à la phase initiale de la nouvelle plateforme de la CCNUCC pour les communautés locales et les peuples autochtones.</t>
  </si>
  <si>
    <t>Connaissances et assistance technique pour soutenir la participation des peuples autochtones à des activités complexes pour le climat et les forêts (par exemple, programmes d'investissement REDD+, accords bilatéraux REDD+, systèmes de paiement fondés sur les résultats).</t>
  </si>
  <si>
    <t>Explorer les possibilités potentielles de mécanismes de financement dédiés pour soutenir les communautés autochtones et forestières avec des actions forestières et climatiques, intégrant les leçons de l’ancien Programme à base communautaire REDD+ (CBR+).</t>
  </si>
  <si>
    <t>Diffusion des connaissances sur les investissements nationaux et les partenariats d’action novateurs visant à promouvoir les droits des peuples autochtones.</t>
  </si>
  <si>
    <t>Appui à la diffusion et à la mise en œuvre des solutions climatiques autochtones présentées lors du sommet des Nations Unies sur le climat (septembre 2019) et proposées dans la Déclaration des forêts de New York.</t>
  </si>
  <si>
    <t>Soutien aux connaissances et alliances de coopération avec différentes organisations et partenariats de peuples autochtones internationaux et régionaux: par ex., le Forum permanent des Nations Unies sur les questions autochtones, le Forum international des femmes autochtones, la Plateforme LCIP de la CCNUCC.</t>
  </si>
  <si>
    <t>2.7 Intégration des outils SNSF/MNV existants dans Open
Foris Online qui est ensuite testé, communiqué et diffusé.</t>
  </si>
  <si>
    <t xml:space="preserve"> 2.8 Transférer les capacités et permettre l'utilisation d'Open Foris Online  par les pays; Appuyer des systèmes SNSF/MNV opérationnels dans 15 pays REDD+.</t>
  </si>
  <si>
    <t>Conception et mise en œuvre d'Open Foris Online.</t>
  </si>
  <si>
    <t>Pilotage de nouveaux outils OF dans trois pays sélectionnés.</t>
  </si>
  <si>
    <t>Partage d'informations sur les outils OF Online pour les projets de la FAO dans les pays, les partenaires coopérants, les parties prenantes potentielles et les utilisateurs du système, ainsi que le grand public.</t>
  </si>
  <si>
    <t>Systèmes Nationaux de Surveillance des Forêts pour REDD+ MNV   Budget par produit, catégorie GNUD et agence de l'ONU (USD)</t>
  </si>
  <si>
    <t>Relier REDD+, l'Accord de Paris, les CDN etles  ODD   Budget par produit, catégorie GNUD et agence de l'ONU (USD)</t>
  </si>
  <si>
    <t xml:space="preserve">2.11 Contribution au produit sur la section alignement aux politiques internationales. 
</t>
  </si>
  <si>
    <t>Appui dans le contexte de MVN et du Cadre de transparence renforcée (ETF) pour obtenir les résultats 3.39 et 3.40 ci-dessous au moyen de ressources techniques et financières supplémentaires spécifiques.</t>
  </si>
  <si>
    <t>Assistance technique à environ 3 à 5 pays partenaires d’ONU-REDD, en partenariat avec le Programme d'appui CDN du PNUD, afin de renforcer l'ambition des CDN à être mises à jour en 2020.</t>
  </si>
  <si>
    <t>Note: En 2020, la mise en œuvre de cette composante sera coordonnée de manière significative avec et en complément de la composante 3.41 sur les mécanismes et modalités nationaux de financement de REDD+.</t>
  </si>
  <si>
    <t xml:space="preserve">La production et diffusion de notes d’information sur le rôle de REDD+ dans le contexte de l’Accord de Paris, y compris des points d’orientation/d’entrée sur la manière d’améliorer la clarté, la transparence et la compréhension des CND grâce à REDD+.
</t>
  </si>
  <si>
    <t>Organisation et prestation de sessions techniques pour les parties prenantes nationales sur REDD+ dans le contexte des CDN, du Cadre de transparence renforcée et/ou de l'article 6 (3 présentations en personne et/ou session régionales ou mondiales à distance).</t>
  </si>
  <si>
    <t xml:space="preserve"> 3.40 Produits de connaissances pratiques émis pour aider les pays à aligner les actions nationales REDD+ avec les engagements politiques internationaux: à savoir les CDN, les principales dispositions de l'Accord de Paris (art. 6/résultats d’atténuation transférés au niveau international, ETF) et le programme des ODD.</t>
  </si>
  <si>
    <t>3.39 Un programme de formation et de conseil axé sur les pays pour intégrer les engagements de politique internationale dans les processus nationaux REDD+, à savoir les CDN, les principales dispositions de l'Accord de Paris (art. 6/résultats d’atténuation transférés au niveau international, le Cadre de transparence renforcée [ETF]) et le programme des ODD.</t>
  </si>
  <si>
    <t>(*) Financé par fonds non dépensés 2017 du PNUD: 540 350 USD</t>
  </si>
  <si>
    <t>Mécanismes de financement REDD+    Budget par produit, catégorie GNUD et agence de l'ONU (USD)</t>
  </si>
  <si>
    <t xml:space="preserve"> 3.41 Les pays partenaires mettant en œuvre les politiques et les mesures REDD+ ont plus de connaissances sur les exigences spécifiques des sources de financement REDD+ actuelles (par ex., le FVC, le Fonds carbone) et sur les options pour les cadres d'investissement et institutionnels nationaux pour les financement REDD+.</t>
  </si>
  <si>
    <t>Appuyer les pays sélectionnés pour qu'ils accèdent aux paiements REDD + basés sur les résultats à partir du FVC.</t>
  </si>
  <si>
    <t>Appuyer les entités nationales à accéder aux paiements REDD + du FVC (échanges de connaissances, conseils techniques).</t>
  </si>
  <si>
    <t>Appuyer les pays bénéficiant de paiements REDD+ provenant de sources du marché (conformément à l'article 6 de l'Accord de Paris) - activité en liaison avec les produits 3.39 et 3.40 (il s'agit de la composante de gestion des connaissances sur les CDN et les ODD).</t>
  </si>
  <si>
    <t>Conseiller les gouvernements nationaux sur l'identification, l'évaluation, la gestion et la conformité des réductions d'émissions (RE) à la CCNUCC.</t>
  </si>
  <si>
    <t>Soutenir les pays avec des mécanismes de gestion de fonds pour canaliser les ressources des RE vers la mise en œuvre de leurs politiques et de leurs mesures (conformément aux stratégies nationales REDD + et/ou aux CDN).</t>
  </si>
  <si>
    <t>Identifier et appuyer un mécanisme financier innovant pour la mise en œuvre de politiques et de mesures sélectionnées dans le cadre des stratégies REDD+ nationales (par ex.: lignes de crédit sans déforestation, examen des subventions gouvernementales).</t>
  </si>
  <si>
    <t>2.12 Les connaissances et les enseignements tirés par pays sur REDD+ sont compilés et diffusés tous les deux mois par le biais du bulletin d'information sur les ressources REDD+ (un canal clé permettant aux pays de rendre compte de leurs activités REDD+).</t>
  </si>
  <si>
    <t>Produire un bulletin d'information trimestriel d'ONU-REDD présentant les meilleures pratiques, les leçons et récits sur les contributions des pays à l'atténuation du changement climatique avec une large couverture des pays partenaires d'ONU-REDD.</t>
  </si>
  <si>
    <t>Alimenter régulièrement le blog d'ONU-REDD.</t>
  </si>
  <si>
    <t>Appuyer les points focaux REDD+ par le biais de spécialistes régionaux de la gestion des connaissances et identification, compilation et préparation de reportages sur les activités REDD+.</t>
  </si>
  <si>
    <t>Élaborer des reportages multimédias à travers la production et diffusion de récits de qualité sous la forme de reproductions, vidéos et images.</t>
  </si>
  <si>
    <t xml:space="preserve">3.32  Les connaissances et les enseignements tirés par pays sur REDD+ sont compilés et partagés entre les pays.
</t>
  </si>
  <si>
    <t>3.33 Les connaissances et les enseignements tirés d'ONU-REDD sont largement diffusés par le biais de plateformes de connaissances et des médias nationaux, régionaux et mondiaux.</t>
  </si>
  <si>
    <t>Partager des connaissances et les enseignements tirés via les médias sociaux.</t>
  </si>
  <si>
    <t xml:space="preserve">Faciliter les échanges de connaissances Sud-Sud en ligne </t>
  </si>
  <si>
    <t>Mener et consolider des activités de gestion des connaissances stratégiques et sur mesure</t>
  </si>
  <si>
    <t>Produire des infographies et des vidéos illustrant les réalisations REDD+ et les faits forestiers</t>
  </si>
  <si>
    <t>Gestion des connaissances transversale et Communication   Budget par produit, catégorie GNUD et agence des Nations Unies (USD)</t>
  </si>
  <si>
    <t>Organiser des voyages-media et des formations pour améliorer les relations avec les médias.</t>
  </si>
  <si>
    <t>Appui indirect</t>
  </si>
  <si>
    <t>Résultat 3</t>
  </si>
  <si>
    <t>Organisation de formations: 
- Ateliers régionaux (2): 
 a) Afrique de l'Est et du Sud (Kenya, Mozambique, Namibie, Ouganda, Tanzanie, Zambie, Zimbabwe)
 b) Amérique latine (pays à déterminer)
- Formation dans des projets nationaux de la FAO: Cambodge/Guatemala/Myanmar/à déterminer
- Webinaires (2): cible mondiale, 
- présentations (5+): visiteurs au siège, réunion des partenaires, universités 
- réunions d'experts techniques et développeurs avec partenaires du mémorandum d’accord (comprenant USFS, LUKE, Université de Göttingen) au siège.</t>
  </si>
  <si>
    <t>Production de documents techniques: manuel technique, guide de l'utilisateur (ANG-FR-ESP), vidéos didactiques (3) pour YouTube et des questionnaires d’enquêtes pour les inventaires forestiers nationaux (5). Articles dans des revues forestières (2).</t>
  </si>
  <si>
    <t>Un soutien spécifique par pays en matière de gouvernance, de régime foncier, de liens entre les peuples autochtones, de surveillance communautaire et de foresterie communautaire vers une gouvernance forestière plus large et plus durable, le développement durable et les paiements potentiellement fondés sur des résultats. (Note: les pays spécifiques à identifier avec les ACR dans le développement de l'assistance technique et avec le PNUD).</t>
  </si>
  <si>
    <t>3.4.3 Les pays partenaires utilisent les connaissances et l’expertise d'ONU-REDD en matière d’engagement multipartite, de gouvernance démocratique et de droits des peuples autochtones dans le cadre de leur action REDD+.</t>
  </si>
  <si>
    <t>2.5 Systèmes nationaux de surveillance des forêts améliorés et niveaux de référence conformes aux exigences de la CCNUCC  notifiés.</t>
  </si>
  <si>
    <t>3.30 Capacité à relier/notifier les activités REDD+ (PAM) aux systèmes nationaux MNV et GES-I.</t>
  </si>
  <si>
    <t>Appui technique pour identifier et préparer des activités de suivi conçues pour mettre en évidence les impacts des activités de réduction des émissions (PAM) et pour les lier aux MNV et GES-I. Ateliers de développement des capacités prévus.</t>
  </si>
  <si>
    <t>Appui continu à la conception et à l'exploitation du SIS affiné (lancé en 2019)</t>
  </si>
  <si>
    <t>Apporter des contributions à l'élaboration d’arrangements institutionnels, politiques et opérationnels pour la mise en œuvre future des approches coopératives au titre de l'article 6 de l'Accord de Paris et d'autres mécanismes.</t>
  </si>
  <si>
    <t>Fournir une assistance technique pour l'analyse et le développement de produits financiers adaptés aux activités agricoles exemptes de déforestation.</t>
  </si>
  <si>
    <t>En 2020, cette composante d'assistance technique appuiera l’élaboration des orientations pour les protocoles de suivi des actions REDD+ pour lesquelles le NERF/NRF du Myanmar peut établir des niveaux de référence. Il sera également conçu pour fournir un appui technique aux activités liées aux interventions REDD+ infranationales et pour apporter un appui technique à la phase pilote de l'approche imbriquée de REDD+ dans des sites ciblés.</t>
  </si>
  <si>
    <t>Fourniture d’une assistance technique aux équipes informatiques pour la mise en place de solutions informatiques (page web/plate-forme, base de données) pour le SIS</t>
  </si>
  <si>
    <t>Engagement régimes fonciers et peuples autochtones</t>
  </si>
  <si>
    <t>PLAN CONSOLIDÉ DE TRAVAIL ET BUDGET DE L'ASSISTANCE TECHNIQUE ONU-REDD 2020 EN USD</t>
  </si>
  <si>
    <t>Dépenses du Programme</t>
  </si>
  <si>
    <t>Soutenir le gouvernement avec les processus de sauvegarde REDD+, en mettant l'accent sur le système d'information sur les garanties (SIS).</t>
  </si>
  <si>
    <t>3.4 Les mécanismes des PAM REDD+  sont conçus et mis en œuvre pour aborder les facteurs de déforestation et dégradation des forêts, tout en tenant pleinement compte des garanties de la CCNUCC.</t>
  </si>
  <si>
    <t>Soutenir le GoI pour améliorer la cartographie de la couverture terrestre, les données sur les séries chronologiques et les activités supplémentaires de REDD+, par ex. restauration.</t>
  </si>
  <si>
    <t>Fournir des apports techniques pour assurer les liens entre le GRM et le processus de garanties de REDD+.</t>
  </si>
  <si>
    <t>Fournir un appui technique, y compris en participant au "Groupe de travail d'experts sur les garanties de REDD+", à la mise en œuvre de la feuille de route du Pérou sur les garanties.</t>
  </si>
  <si>
    <t>Examen de la proposition du FVC pour soutenir les PAM REDD+ au Congo sur la base des commentaires du FVC et appui jusqu'à l'approbation.</t>
  </si>
  <si>
    <t>Fourniture de contributions techniques au processus de programmation CAFI et au programme ER, ainsi qu'à d'autres projets de mise en œuvre de REDD+.</t>
  </si>
  <si>
    <t>Amélioration de la méthodologie de la NERF/NRF.</t>
  </si>
  <si>
    <t>Élaboration et soumission de la nouvelle NERF/NRF à la CCNUCC.</t>
  </si>
  <si>
    <t>Appui pour estimer la réduction des émissions résultant des activités REDD+.</t>
  </si>
  <si>
    <t>Préparation de l'annexe technique.</t>
  </si>
  <si>
    <t>Renforcement des capacités des experts de CNIAF et de MTE en matière de communication des résultats REDD+.</t>
  </si>
  <si>
    <t>Matériel d'orientation et formation sur l'harmonisation des approches en matière de garanties afin de répondre à d'autres exigences en matière de garanties, par ex.: celles du Fonds vert pour le climat (FVC).</t>
  </si>
  <si>
    <t>Assistance technique pour l'analyse des évaluations financières et d'impacts des politiques et mesures REDD+.</t>
  </si>
  <si>
    <t>3.8 Mesures de gouvernance forestière pour les résultats REDD+ définies et intégrées.</t>
  </si>
  <si>
    <t>Fournir des recommandations politiques pour l'intensification des actions de soutien liées à la foresterie communautaire et au suivi communautaire conformément à l'EICDGB et au PND (intégrant les premières leçons tirées des projets pilotes qui ont démarré en 2018 et 2019).</t>
  </si>
  <si>
    <t>Consolidation du suivi des activités de restauration dans le cadre du SNMF en appuyant l'opérationnalisation de la méthodologie de suivi des activités de restauration au niveau national.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</si>
</sst>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 #,##0.00_-;_-* &quot;-&quot;??_-;_-@_-"/>
    <numFmt numFmtId="165" formatCode="_ * #,##0.00_ ;_ * \-#,##0.00_ ;_ * &quot;-&quot;??_ ;_ @_ "/>
    <numFmt numFmtId="166" formatCode="_(* #,##0_);_(* \(#,##0\);_(* &quot;-&quot;_);_(@_)"/>
    <numFmt numFmtId="167" formatCode="_(&quot;$&quot;* #,##0.00_);_(&quot;$&quot;* \(#,##0.00\);_(&quot;$&quot;* &quot;-&quot;??_);_(@_)"/>
    <numFmt numFmtId="168" formatCode="_(* #,##0.00_);_(* \(#,##0.00\);_(* &quot;-&quot;??_);_(@_)"/>
    <numFmt numFmtId="169" formatCode="_(* #,##0_);_(* \(#,##0\);_(* &quot;-&quot;??_);_(@_)"/>
    <numFmt numFmtId="170" formatCode="_ * #,##0_ ;_ * \-#,##0_ ;_ * &quot;-&quot;??_ ;_ @_ "/>
    <numFmt numFmtId="171" formatCode="_-* #,##0_-;\-* #,##0_-;_-* &quot;-&quot;??_-;_-@_-"/>
    <numFmt numFmtId="172" formatCode="_ * #\ ###\ ##0_ ;_ * \-#\ ###\ ##0_ ;_ * &quot;-&quot;??_ ;_ @_ "/>
  </numFmts>
  <fonts count="55"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9"/>
      <color indexed="8"/>
      <name val="Calibri"/>
      <family val="2"/>
    </font>
    <font>
      <sz val="11"/>
      <color theme="1"/>
      <name val="Calibri"/>
      <family val="2"/>
      <scheme val="minor"/>
    </font>
    <font>
      <sz val="12"/>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b/>
      <sz val="11"/>
      <color theme="8" tint="-0.249977111117893"/>
      <name val="Calibri"/>
      <family val="2"/>
      <scheme val="minor"/>
    </font>
    <font>
      <i/>
      <sz val="11"/>
      <color theme="1"/>
      <name val="Calibri"/>
      <family val="2"/>
      <scheme val="minor"/>
    </font>
    <font>
      <b/>
      <i/>
      <sz val="11"/>
      <color theme="1"/>
      <name val="Calibri"/>
      <family val="2"/>
      <scheme val="minor"/>
    </font>
    <font>
      <sz val="11"/>
      <name val="Calibri"/>
      <family val="2"/>
      <scheme val="minor"/>
    </font>
    <font>
      <b/>
      <sz val="10"/>
      <color rgb="FF000000"/>
      <name val="Calibri"/>
      <family val="2"/>
      <scheme val="minor"/>
    </font>
    <font>
      <sz val="11"/>
      <color rgb="FF000000"/>
      <name val="Calibri"/>
      <family val="2"/>
      <scheme val="minor"/>
    </font>
    <font>
      <sz val="10"/>
      <color rgb="FF000000"/>
      <name val="Calibri"/>
      <family val="2"/>
      <scheme val="minor"/>
    </font>
    <font>
      <b/>
      <sz val="11"/>
      <color rgb="FF000000"/>
      <name val="Calibri"/>
      <family val="2"/>
      <scheme val="minor"/>
    </font>
    <font>
      <b/>
      <sz val="9"/>
      <color theme="1"/>
      <name val="Calibri"/>
      <family val="2"/>
      <scheme val="minor"/>
    </font>
    <font>
      <sz val="10"/>
      <color theme="1"/>
      <name val="Calibri"/>
      <family val="2"/>
      <scheme val="minor"/>
    </font>
    <font>
      <b/>
      <sz val="10"/>
      <color theme="8" tint="-0.249977111117893"/>
      <name val="Calibri"/>
      <family val="2"/>
      <scheme val="minor"/>
    </font>
    <font>
      <i/>
      <sz val="10"/>
      <color theme="1"/>
      <name val="Calibri"/>
      <family val="2"/>
      <scheme val="minor"/>
    </font>
    <font>
      <b/>
      <i/>
      <sz val="10"/>
      <color theme="1"/>
      <name val="Calibri"/>
      <family val="2"/>
      <scheme val="minor"/>
    </font>
    <font>
      <sz val="10"/>
      <name val="Calibri"/>
      <family val="2"/>
      <scheme val="minor"/>
    </font>
    <font>
      <sz val="9"/>
      <color rgb="FF000000"/>
      <name val="Calibri"/>
      <family val="2"/>
      <scheme val="minor"/>
    </font>
    <font>
      <b/>
      <sz val="9"/>
      <color rgb="FFFF0000"/>
      <name val="Calibri"/>
      <family val="2"/>
      <scheme val="minor"/>
    </font>
    <font>
      <b/>
      <sz val="9"/>
      <color rgb="FF0000CC"/>
      <name val="Calibri"/>
      <family val="2"/>
      <scheme val="minor"/>
    </font>
    <font>
      <b/>
      <sz val="9"/>
      <color theme="8" tint="-0.249977111117893"/>
      <name val="Calibri"/>
      <family val="2"/>
      <scheme val="minor"/>
    </font>
    <font>
      <sz val="9"/>
      <name val="Calibri"/>
      <family val="2"/>
      <scheme val="minor"/>
    </font>
    <font>
      <sz val="9"/>
      <color rgb="FF0000CC"/>
      <name val="Calibri"/>
      <family val="2"/>
      <scheme val="minor"/>
    </font>
    <font>
      <b/>
      <sz val="9"/>
      <name val="Calibri"/>
      <family val="2"/>
      <scheme val="minor"/>
    </font>
    <font>
      <i/>
      <sz val="9"/>
      <color theme="1"/>
      <name val="Calibri"/>
      <family val="2"/>
      <scheme val="minor"/>
    </font>
    <font>
      <b/>
      <i/>
      <sz val="9"/>
      <color theme="1"/>
      <name val="Calibri"/>
      <family val="2"/>
      <scheme val="minor"/>
    </font>
    <font>
      <b/>
      <sz val="9"/>
      <color rgb="FF000000"/>
      <name val="Calibri"/>
      <family val="2"/>
      <scheme val="minor"/>
    </font>
    <font>
      <sz val="9"/>
      <color rgb="FFFF0000"/>
      <name val="Calibri"/>
      <family val="2"/>
      <scheme val="minor"/>
    </font>
    <font>
      <sz val="12"/>
      <color rgb="FF000000"/>
      <name val="Calibri"/>
    </font>
    <font>
      <u/>
      <sz val="11"/>
      <color theme="10"/>
      <name val="Calibri"/>
      <family val="2"/>
      <scheme val="minor"/>
    </font>
    <font>
      <u/>
      <sz val="11"/>
      <color theme="11"/>
      <name val="Calibri"/>
      <family val="2"/>
      <scheme val="minor"/>
    </font>
    <font>
      <sz val="8"/>
      <name val="Calibri"/>
      <family val="2"/>
      <scheme val="minor"/>
    </font>
  </fonts>
  <fills count="4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D8D8D8"/>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DCE6F1"/>
        <bgColor rgb="FF000000"/>
      </patternFill>
    </fill>
    <fill>
      <patternFill patternType="solid">
        <fgColor rgb="FF95B3D7"/>
        <bgColor rgb="FF000000"/>
      </patternFill>
    </fill>
    <fill>
      <patternFill patternType="solid">
        <fgColor rgb="FFB7DEE8"/>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indexed="62"/>
      </top>
      <bottom style="double">
        <color indexed="62"/>
      </bottom>
      <diagonal/>
    </border>
    <border>
      <left style="thin">
        <color auto="1"/>
      </left>
      <right style="thin">
        <color auto="1"/>
      </right>
      <top/>
      <bottom style="thin">
        <color auto="1"/>
      </bottom>
      <diagonal/>
    </border>
    <border>
      <left style="medium">
        <color auto="1"/>
      </left>
      <right style="medium">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double">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s>
  <cellStyleXfs count="401">
    <xf numFmtId="0" fontId="0" fillId="0" borderId="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5" fillId="21" borderId="1" applyNumberFormat="0" applyAlignment="0" applyProtection="0"/>
    <xf numFmtId="0" fontId="6" fillId="22" borderId="2" applyNumberFormat="0" applyAlignment="0" applyProtection="0"/>
    <xf numFmtId="0" fontId="6" fillId="22" borderId="2" applyNumberFormat="0" applyAlignment="0" applyProtection="0"/>
    <xf numFmtId="0" fontId="6" fillId="22" borderId="2" applyNumberFormat="0" applyAlignment="0" applyProtection="0"/>
    <xf numFmtId="168" fontId="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 fillId="0" borderId="0" applyFont="0" applyFill="0" applyBorder="0" applyAlignment="0" applyProtection="0"/>
    <xf numFmtId="168" fontId="2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8" fontId="1"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165" fontId="2" fillId="0" borderId="0" applyFont="0" applyFill="0" applyBorder="0" applyAlignment="0" applyProtection="0"/>
    <xf numFmtId="165" fontId="2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21" fillId="0" borderId="0" applyFont="0" applyFill="0" applyBorder="0" applyAlignment="0" applyProtection="0"/>
    <xf numFmtId="164" fontId="2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4" applyNumberFormat="0" applyFill="0" applyAlignment="0" applyProtection="0"/>
    <xf numFmtId="0" fontId="9" fillId="0" borderId="4"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2" fillId="7" borderId="1" applyNumberFormat="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165" fontId="21" fillId="0" borderId="0" applyFont="0" applyFill="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4" fillId="23" borderId="0" applyNumberFormat="0" applyBorder="0" applyAlignment="0" applyProtection="0"/>
    <xf numFmtId="0" fontId="1" fillId="0" borderId="0"/>
    <xf numFmtId="0" fontId="19"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 fillId="24" borderId="7"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0" fontId="15" fillId="21"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2" fillId="0" borderId="9">
      <alignment vertical="top" wrapText="1"/>
    </xf>
    <xf numFmtId="0" fontId="22" fillId="0" borderId="9">
      <alignment vertical="top" wrapText="1"/>
    </xf>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51" fillId="0" borderId="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cellStyleXfs>
  <cellXfs count="757">
    <xf numFmtId="0" fontId="0" fillId="0" borderId="0" xfId="0"/>
    <xf numFmtId="0" fontId="21" fillId="0" borderId="0" xfId="167"/>
    <xf numFmtId="0" fontId="21" fillId="0" borderId="0" xfId="167" applyAlignment="1">
      <alignment wrapText="1"/>
    </xf>
    <xf numFmtId="169" fontId="21" fillId="0" borderId="0" xfId="167" applyNumberFormat="1"/>
    <xf numFmtId="0" fontId="21" fillId="0" borderId="0" xfId="167" applyFont="1"/>
    <xf numFmtId="166" fontId="21" fillId="0" borderId="0" xfId="167" applyNumberFormat="1"/>
    <xf numFmtId="170" fontId="21" fillId="0" borderId="0" xfId="167" applyNumberFormat="1"/>
    <xf numFmtId="165" fontId="21" fillId="0" borderId="0" xfId="167" applyNumberFormat="1"/>
    <xf numFmtId="170" fontId="21" fillId="0" borderId="0" xfId="153" applyNumberFormat="1"/>
    <xf numFmtId="0" fontId="24" fillId="25" borderId="11" xfId="167" applyFont="1" applyFill="1" applyBorder="1" applyAlignment="1">
      <alignment wrapText="1"/>
    </xf>
    <xf numFmtId="0" fontId="23" fillId="0" borderId="0" xfId="167" applyFont="1"/>
    <xf numFmtId="0" fontId="21" fillId="26" borderId="12" xfId="167" applyFill="1" applyBorder="1"/>
    <xf numFmtId="0" fontId="21" fillId="26" borderId="12" xfId="167" applyFont="1" applyFill="1" applyBorder="1"/>
    <xf numFmtId="166" fontId="21" fillId="26" borderId="12" xfId="167" applyNumberFormat="1" applyFill="1" applyBorder="1"/>
    <xf numFmtId="0" fontId="25" fillId="0" borderId="0" xfId="167" applyFont="1"/>
    <xf numFmtId="0" fontId="23" fillId="27" borderId="13" xfId="161" applyFont="1" applyFill="1" applyBorder="1" applyAlignment="1">
      <alignment horizontal="center" vertical="center"/>
    </xf>
    <xf numFmtId="0" fontId="21" fillId="0" borderId="0" xfId="161"/>
    <xf numFmtId="0" fontId="26" fillId="0" borderId="14" xfId="161" applyFont="1" applyFill="1" applyBorder="1"/>
    <xf numFmtId="170" fontId="26" fillId="0" borderId="14" xfId="161" applyNumberFormat="1" applyFont="1" applyFill="1" applyBorder="1" applyAlignment="1">
      <alignment horizontal="right"/>
    </xf>
    <xf numFmtId="0" fontId="23" fillId="0" borderId="14" xfId="161" applyFont="1" applyFill="1" applyBorder="1"/>
    <xf numFmtId="170" fontId="23" fillId="0" borderId="14" xfId="153" applyNumberFormat="1" applyFont="1" applyFill="1" applyBorder="1" applyAlignment="1">
      <alignment horizontal="right"/>
    </xf>
    <xf numFmtId="0" fontId="27" fillId="0" borderId="14" xfId="161" applyFont="1" applyBorder="1" applyAlignment="1">
      <alignment horizontal="right"/>
    </xf>
    <xf numFmtId="170" fontId="27" fillId="0" borderId="14" xfId="161" applyNumberFormat="1" applyFont="1" applyBorder="1"/>
    <xf numFmtId="0" fontId="23" fillId="0" borderId="14" xfId="161" applyFont="1" applyBorder="1"/>
    <xf numFmtId="170" fontId="28" fillId="0" borderId="14" xfId="161" applyNumberFormat="1" applyFont="1" applyBorder="1"/>
    <xf numFmtId="170" fontId="26" fillId="0" borderId="14" xfId="104" applyNumberFormat="1" applyFont="1" applyFill="1" applyBorder="1"/>
    <xf numFmtId="170" fontId="21" fillId="0" borderId="0" xfId="161" applyNumberFormat="1"/>
    <xf numFmtId="170" fontId="29" fillId="0" borderId="14" xfId="104" applyNumberFormat="1" applyFont="1" applyFill="1" applyBorder="1"/>
    <xf numFmtId="170" fontId="27" fillId="0" borderId="14" xfId="104" applyNumberFormat="1" applyFont="1" applyBorder="1"/>
    <xf numFmtId="0" fontId="21" fillId="0" borderId="15" xfId="161" applyFont="1" applyBorder="1"/>
    <xf numFmtId="170" fontId="21" fillId="0" borderId="15" xfId="104" applyNumberFormat="1" applyFont="1" applyBorder="1"/>
    <xf numFmtId="170" fontId="21" fillId="0" borderId="0" xfId="161" applyNumberFormat="1" applyBorder="1"/>
    <xf numFmtId="170" fontId="21" fillId="0" borderId="0" xfId="104" applyNumberFormat="1" applyFont="1"/>
    <xf numFmtId="3" fontId="21" fillId="0" borderId="0" xfId="161" applyNumberFormat="1" applyBorder="1"/>
    <xf numFmtId="3" fontId="21" fillId="0" borderId="0" xfId="161" applyNumberFormat="1"/>
    <xf numFmtId="0" fontId="21" fillId="0" borderId="0" xfId="161" applyFont="1"/>
    <xf numFmtId="0" fontId="30" fillId="28" borderId="16" xfId="0" applyFont="1" applyFill="1" applyBorder="1" applyAlignment="1">
      <alignment vertical="center" wrapText="1"/>
    </xf>
    <xf numFmtId="0" fontId="30" fillId="28" borderId="17" xfId="0" applyFont="1" applyFill="1" applyBorder="1" applyAlignment="1">
      <alignment vertical="center" wrapText="1"/>
    </xf>
    <xf numFmtId="0" fontId="31" fillId="0" borderId="18" xfId="0" applyFont="1" applyBorder="1" applyAlignment="1">
      <alignment vertical="center" wrapText="1"/>
    </xf>
    <xf numFmtId="0" fontId="30" fillId="0" borderId="19" xfId="0" applyFont="1" applyBorder="1" applyAlignment="1">
      <alignment horizontal="right" vertical="center"/>
    </xf>
    <xf numFmtId="0" fontId="32" fillId="0" borderId="19" xfId="0" applyFont="1" applyBorder="1" applyAlignment="1">
      <alignment horizontal="right" vertical="center"/>
    </xf>
    <xf numFmtId="0" fontId="32" fillId="0" borderId="19" xfId="0" applyFont="1" applyBorder="1" applyAlignment="1">
      <alignment vertical="center"/>
    </xf>
    <xf numFmtId="0" fontId="30" fillId="28" borderId="18" xfId="0" applyFont="1" applyFill="1" applyBorder="1" applyAlignment="1">
      <alignment vertical="center" wrapText="1"/>
    </xf>
    <xf numFmtId="0" fontId="30" fillId="28" borderId="19" xfId="0" applyFont="1" applyFill="1" applyBorder="1" applyAlignment="1">
      <alignment horizontal="right" vertical="center"/>
    </xf>
    <xf numFmtId="0" fontId="32" fillId="28" borderId="19" xfId="0" applyFont="1" applyFill="1" applyBorder="1" applyAlignment="1">
      <alignment horizontal="right" vertical="center"/>
    </xf>
    <xf numFmtId="170" fontId="31" fillId="0" borderId="19" xfId="0" applyNumberFormat="1" applyFont="1" applyBorder="1" applyAlignment="1">
      <alignment horizontal="right" vertical="center"/>
    </xf>
    <xf numFmtId="170" fontId="33" fillId="28" borderId="19" xfId="0" applyNumberFormat="1" applyFont="1" applyFill="1" applyBorder="1" applyAlignment="1">
      <alignment horizontal="right" vertical="center"/>
    </xf>
    <xf numFmtId="169" fontId="34" fillId="29" borderId="21" xfId="167" applyNumberFormat="1" applyFont="1" applyFill="1" applyBorder="1" applyAlignment="1">
      <alignment vertical="center" wrapText="1"/>
    </xf>
    <xf numFmtId="0" fontId="35" fillId="0" borderId="21" xfId="0" applyFont="1" applyBorder="1"/>
    <xf numFmtId="0" fontId="35" fillId="0" borderId="21" xfId="0" applyFont="1" applyBorder="1" applyAlignment="1">
      <alignment wrapText="1"/>
    </xf>
    <xf numFmtId="0" fontId="34" fillId="30" borderId="21" xfId="167" applyFont="1" applyFill="1" applyBorder="1" applyAlignment="1">
      <alignment vertical="center" wrapText="1"/>
    </xf>
    <xf numFmtId="0" fontId="24" fillId="25" borderId="21" xfId="167" applyFont="1" applyFill="1" applyBorder="1" applyAlignment="1">
      <alignment wrapText="1"/>
    </xf>
    <xf numFmtId="166" fontId="24" fillId="25" borderId="21" xfId="167" applyNumberFormat="1" applyFont="1" applyFill="1" applyBorder="1"/>
    <xf numFmtId="169" fontId="24" fillId="25" borderId="21" xfId="167" applyNumberFormat="1" applyFont="1" applyFill="1" applyBorder="1"/>
    <xf numFmtId="170" fontId="35" fillId="0" borderId="21" xfId="153" applyNumberFormat="1" applyFont="1" applyFill="1" applyBorder="1" applyAlignment="1"/>
    <xf numFmtId="166" fontId="35" fillId="0" borderId="21" xfId="167" applyNumberFormat="1" applyFont="1" applyBorder="1"/>
    <xf numFmtId="0" fontId="24" fillId="31" borderId="21" xfId="167" applyFont="1" applyFill="1" applyBorder="1" applyAlignment="1">
      <alignment horizontal="left" wrapText="1"/>
    </xf>
    <xf numFmtId="169" fontId="24" fillId="31" borderId="21" xfId="85" applyNumberFormat="1" applyFont="1" applyFill="1" applyBorder="1" applyAlignment="1">
      <alignment horizontal="right"/>
    </xf>
    <xf numFmtId="170" fontId="35" fillId="0" borderId="21" xfId="0" applyNumberFormat="1" applyFont="1" applyFill="1" applyBorder="1" applyAlignment="1"/>
    <xf numFmtId="170" fontId="35" fillId="0" borderId="21" xfId="167" applyNumberFormat="1" applyFont="1" applyBorder="1"/>
    <xf numFmtId="169" fontId="24" fillId="31" borderId="21" xfId="167" applyNumberFormat="1" applyFont="1" applyFill="1" applyBorder="1" applyAlignment="1">
      <alignment wrapText="1"/>
    </xf>
    <xf numFmtId="170" fontId="24" fillId="31" borderId="21" xfId="167" applyNumberFormat="1" applyFont="1" applyFill="1" applyBorder="1" applyAlignment="1">
      <alignment wrapText="1"/>
    </xf>
    <xf numFmtId="0" fontId="35" fillId="0" borderId="21" xfId="167" applyFont="1" applyBorder="1" applyAlignment="1">
      <alignment wrapText="1"/>
    </xf>
    <xf numFmtId="170" fontId="35" fillId="0" borderId="21" xfId="153" applyNumberFormat="1" applyFont="1" applyBorder="1"/>
    <xf numFmtId="0" fontId="24" fillId="32" borderId="21" xfId="167" applyFont="1" applyFill="1" applyBorder="1" applyAlignment="1">
      <alignment wrapText="1"/>
    </xf>
    <xf numFmtId="170" fontId="24" fillId="32" borderId="21" xfId="153" applyNumberFormat="1" applyFont="1" applyFill="1" applyBorder="1"/>
    <xf numFmtId="0" fontId="24" fillId="27" borderId="21" xfId="161" applyFont="1" applyFill="1" applyBorder="1" applyAlignment="1">
      <alignment horizontal="center" vertical="center"/>
    </xf>
    <xf numFmtId="0" fontId="24" fillId="27" borderId="22" xfId="161" applyFont="1" applyFill="1" applyBorder="1" applyAlignment="1">
      <alignment horizontal="center" vertical="center"/>
    </xf>
    <xf numFmtId="0" fontId="36" fillId="0" borderId="23" xfId="161" applyFont="1" applyFill="1" applyBorder="1"/>
    <xf numFmtId="170" fontId="36" fillId="0" borderId="23" xfId="161" applyNumberFormat="1" applyFont="1" applyFill="1" applyBorder="1" applyAlignment="1">
      <alignment horizontal="right"/>
    </xf>
    <xf numFmtId="170" fontId="36" fillId="0" borderId="24" xfId="161" applyNumberFormat="1" applyFont="1" applyFill="1" applyBorder="1" applyAlignment="1">
      <alignment horizontal="right"/>
    </xf>
    <xf numFmtId="0" fontId="24" fillId="0" borderId="14" xfId="161" applyFont="1" applyFill="1" applyBorder="1"/>
    <xf numFmtId="170" fontId="24" fillId="0" borderId="14" xfId="153" applyNumberFormat="1" applyFont="1" applyFill="1" applyBorder="1" applyAlignment="1">
      <alignment horizontal="right"/>
    </xf>
    <xf numFmtId="170" fontId="24" fillId="0" borderId="25" xfId="153" applyNumberFormat="1" applyFont="1" applyFill="1" applyBorder="1" applyAlignment="1">
      <alignment horizontal="right"/>
    </xf>
    <xf numFmtId="0" fontId="37" fillId="0" borderId="14" xfId="161" applyFont="1" applyBorder="1" applyAlignment="1">
      <alignment horizontal="right"/>
    </xf>
    <xf numFmtId="170" fontId="37" fillId="0" borderId="14" xfId="161" applyNumberFormat="1" applyFont="1" applyBorder="1"/>
    <xf numFmtId="170" fontId="37" fillId="0" borderId="25" xfId="161" applyNumberFormat="1" applyFont="1" applyBorder="1"/>
    <xf numFmtId="0" fontId="24" fillId="0" borderId="14" xfId="161" applyFont="1" applyBorder="1"/>
    <xf numFmtId="170" fontId="38" fillId="0" borderId="14" xfId="161" applyNumberFormat="1" applyFont="1" applyBorder="1"/>
    <xf numFmtId="170" fontId="38" fillId="0" borderId="25" xfId="161" applyNumberFormat="1" applyFont="1" applyBorder="1"/>
    <xf numFmtId="170" fontId="37" fillId="0" borderId="25" xfId="161" applyNumberFormat="1" applyFont="1" applyFill="1" applyBorder="1"/>
    <xf numFmtId="0" fontId="36" fillId="0" borderId="14" xfId="161" applyFont="1" applyFill="1" applyBorder="1"/>
    <xf numFmtId="170" fontId="36" fillId="0" borderId="14" xfId="104" applyNumberFormat="1" applyFont="1" applyFill="1" applyBorder="1"/>
    <xf numFmtId="170" fontId="36" fillId="0" borderId="25" xfId="104" applyNumberFormat="1" applyFont="1" applyFill="1" applyBorder="1"/>
    <xf numFmtId="170" fontId="39" fillId="0" borderId="14" xfId="104" applyNumberFormat="1" applyFont="1" applyFill="1" applyBorder="1"/>
    <xf numFmtId="170" fontId="39" fillId="0" borderId="25" xfId="104" applyNumberFormat="1" applyFont="1" applyFill="1" applyBorder="1"/>
    <xf numFmtId="170" fontId="37" fillId="0" borderId="14" xfId="104" applyNumberFormat="1" applyFont="1" applyBorder="1"/>
    <xf numFmtId="170" fontId="37" fillId="0" borderId="25" xfId="104" applyNumberFormat="1" applyFont="1" applyBorder="1"/>
    <xf numFmtId="0" fontId="35" fillId="0" borderId="15" xfId="161" applyFont="1" applyBorder="1"/>
    <xf numFmtId="170" fontId="35" fillId="0" borderId="15" xfId="104" applyNumberFormat="1" applyFont="1" applyBorder="1"/>
    <xf numFmtId="170" fontId="35" fillId="0" borderId="26" xfId="104" applyNumberFormat="1" applyFont="1" applyBorder="1"/>
    <xf numFmtId="0" fontId="24" fillId="0" borderId="21" xfId="161" applyFont="1" applyFill="1" applyBorder="1"/>
    <xf numFmtId="170" fontId="24" fillId="0" borderId="21" xfId="104" applyNumberFormat="1" applyFont="1" applyBorder="1"/>
    <xf numFmtId="170" fontId="24" fillId="0" borderId="22" xfId="104" applyNumberFormat="1" applyFont="1" applyBorder="1"/>
    <xf numFmtId="0" fontId="23" fillId="0" borderId="27" xfId="161" applyFont="1" applyBorder="1"/>
    <xf numFmtId="0" fontId="21" fillId="0" borderId="27" xfId="161" applyBorder="1"/>
    <xf numFmtId="0" fontId="23" fillId="0" borderId="21" xfId="161" applyFont="1" applyFill="1" applyBorder="1"/>
    <xf numFmtId="170" fontId="23" fillId="0" borderId="21" xfId="104" applyNumberFormat="1" applyFont="1" applyBorder="1"/>
    <xf numFmtId="166" fontId="24" fillId="25" borderId="22" xfId="167" applyNumberFormat="1" applyFont="1" applyFill="1" applyBorder="1"/>
    <xf numFmtId="0" fontId="24" fillId="25" borderId="28" xfId="167" applyFont="1" applyFill="1" applyBorder="1" applyAlignment="1">
      <alignment wrapText="1"/>
    </xf>
    <xf numFmtId="165" fontId="35" fillId="0" borderId="21" xfId="153" applyFont="1" applyFill="1" applyBorder="1" applyAlignment="1"/>
    <xf numFmtId="0" fontId="35" fillId="0" borderId="28" xfId="0" applyFont="1" applyBorder="1"/>
    <xf numFmtId="0" fontId="35" fillId="0" borderId="21" xfId="0" applyFont="1" applyFill="1" applyBorder="1" applyAlignment="1"/>
    <xf numFmtId="0" fontId="35" fillId="0" borderId="28" xfId="0" applyFont="1" applyBorder="1" applyAlignment="1">
      <alignment wrapText="1"/>
    </xf>
    <xf numFmtId="169" fontId="24" fillId="31" borderId="21" xfId="85" applyNumberFormat="1" applyFont="1" applyFill="1" applyBorder="1"/>
    <xf numFmtId="166" fontId="35" fillId="31" borderId="21" xfId="167" applyNumberFormat="1" applyFont="1" applyFill="1" applyBorder="1"/>
    <xf numFmtId="0" fontId="24" fillId="31" borderId="28" xfId="167" applyFont="1" applyFill="1" applyBorder="1" applyAlignment="1">
      <alignment horizontal="left" wrapText="1"/>
    </xf>
    <xf numFmtId="165" fontId="35" fillId="0" borderId="21" xfId="153" applyFont="1" applyBorder="1"/>
    <xf numFmtId="165" fontId="35" fillId="31" borderId="21" xfId="153" applyFont="1" applyFill="1" applyBorder="1"/>
    <xf numFmtId="169" fontId="24" fillId="31" borderId="28" xfId="167" applyNumberFormat="1" applyFont="1" applyFill="1" applyBorder="1" applyAlignment="1">
      <alignment wrapText="1"/>
    </xf>
    <xf numFmtId="0" fontId="35" fillId="0" borderId="28" xfId="167" applyFont="1" applyBorder="1" applyAlignment="1">
      <alignment wrapText="1"/>
    </xf>
    <xf numFmtId="170" fontId="35" fillId="32" borderId="21" xfId="153" applyNumberFormat="1" applyFont="1" applyFill="1" applyBorder="1"/>
    <xf numFmtId="165" fontId="35" fillId="32" borderId="21" xfId="153" applyFont="1" applyFill="1" applyBorder="1"/>
    <xf numFmtId="0" fontId="24" fillId="32" borderId="28" xfId="167" applyFont="1" applyFill="1" applyBorder="1" applyAlignment="1">
      <alignment wrapText="1"/>
    </xf>
    <xf numFmtId="0" fontId="34" fillId="29" borderId="21" xfId="167" applyFont="1" applyFill="1" applyBorder="1" applyAlignment="1">
      <alignment horizontal="center" vertical="center" wrapText="1"/>
    </xf>
    <xf numFmtId="0" fontId="25" fillId="33" borderId="21" xfId="0" applyFont="1" applyFill="1" applyBorder="1" applyAlignment="1">
      <alignment horizontal="left" vertical="center"/>
    </xf>
    <xf numFmtId="0" fontId="25" fillId="33" borderId="21" xfId="0" applyFont="1" applyFill="1" applyBorder="1" applyAlignment="1">
      <alignment horizontal="left" vertical="center" wrapText="1"/>
    </xf>
    <xf numFmtId="0" fontId="25" fillId="34" borderId="21" xfId="0" applyFont="1" applyFill="1" applyBorder="1" applyAlignment="1">
      <alignment wrapText="1"/>
    </xf>
    <xf numFmtId="0" fontId="25" fillId="34" borderId="21" xfId="0" applyFont="1" applyFill="1" applyBorder="1" applyAlignment="1">
      <alignment vertical="center" wrapText="1"/>
    </xf>
    <xf numFmtId="0" fontId="20" fillId="33" borderId="21" xfId="0" applyFont="1" applyFill="1" applyBorder="1" applyAlignment="1">
      <alignment vertical="center" wrapText="1"/>
    </xf>
    <xf numFmtId="0" fontId="20" fillId="33" borderId="20" xfId="167" applyFont="1" applyFill="1" applyBorder="1" applyAlignment="1">
      <alignment vertical="center" wrapText="1"/>
    </xf>
    <xf numFmtId="0" fontId="20" fillId="33" borderId="20" xfId="167" applyFont="1" applyFill="1" applyBorder="1" applyAlignment="1">
      <alignment horizontal="left" vertical="center" wrapText="1"/>
    </xf>
    <xf numFmtId="0" fontId="20" fillId="33" borderId="21" xfId="0" applyFont="1" applyFill="1" applyBorder="1" applyAlignment="1">
      <alignment horizontal="left" vertical="center" wrapText="1"/>
    </xf>
    <xf numFmtId="0" fontId="20" fillId="33" borderId="21" xfId="0" applyFont="1" applyFill="1" applyBorder="1" applyAlignment="1">
      <alignment vertical="center"/>
    </xf>
    <xf numFmtId="0" fontId="20" fillId="33" borderId="11" xfId="167" applyFont="1" applyFill="1" applyBorder="1" applyAlignment="1">
      <alignment vertical="center" wrapText="1"/>
    </xf>
    <xf numFmtId="0" fontId="25" fillId="34" borderId="21" xfId="167" applyFont="1" applyFill="1" applyBorder="1" applyAlignment="1">
      <alignment vertical="center" wrapText="1"/>
    </xf>
    <xf numFmtId="0" fontId="25" fillId="35" borderId="21" xfId="0" applyFont="1" applyFill="1" applyBorder="1" applyAlignment="1">
      <alignment horizontal="left" vertical="center" wrapText="1"/>
    </xf>
    <xf numFmtId="0" fontId="25" fillId="35" borderId="21" xfId="0" applyFont="1" applyFill="1" applyBorder="1" applyAlignment="1">
      <alignment vertical="center" wrapText="1"/>
    </xf>
    <xf numFmtId="0" fontId="25" fillId="35" borderId="21" xfId="0" applyFont="1" applyFill="1" applyBorder="1" applyAlignment="1">
      <alignment horizontal="left" vertical="center"/>
    </xf>
    <xf numFmtId="0" fontId="25" fillId="30" borderId="21" xfId="0" applyFont="1" applyFill="1" applyBorder="1" applyAlignment="1">
      <alignment vertical="center" wrapText="1"/>
    </xf>
    <xf numFmtId="0" fontId="25" fillId="30" borderId="21" xfId="0" applyFont="1" applyFill="1" applyBorder="1" applyAlignment="1">
      <alignment horizontal="left" vertical="center"/>
    </xf>
    <xf numFmtId="0" fontId="25" fillId="33" borderId="29" xfId="0" applyFont="1" applyFill="1" applyBorder="1" applyAlignment="1">
      <alignment vertical="center"/>
    </xf>
    <xf numFmtId="0" fontId="34" fillId="0" borderId="0" xfId="167" applyFont="1" applyAlignment="1">
      <alignment vertical="center"/>
    </xf>
    <xf numFmtId="0" fontId="25" fillId="0" borderId="0" xfId="167" applyFont="1" applyAlignment="1">
      <alignment vertical="center"/>
    </xf>
    <xf numFmtId="0" fontId="34" fillId="31" borderId="21" xfId="167" applyFont="1" applyFill="1" applyBorder="1" applyAlignment="1">
      <alignment horizontal="left" vertical="center" wrapText="1"/>
    </xf>
    <xf numFmtId="0" fontId="25" fillId="0" borderId="21" xfId="0" applyFont="1" applyBorder="1" applyAlignment="1">
      <alignment horizontal="left" vertical="center"/>
    </xf>
    <xf numFmtId="0" fontId="25" fillId="0" borderId="21" xfId="0" applyFont="1" applyBorder="1" applyAlignment="1">
      <alignment horizontal="left" vertical="center" wrapText="1"/>
    </xf>
    <xf numFmtId="0" fontId="25" fillId="34" borderId="21" xfId="0" applyFont="1" applyFill="1" applyBorder="1" applyAlignment="1">
      <alignment horizontal="left" vertical="center"/>
    </xf>
    <xf numFmtId="0" fontId="25" fillId="37" borderId="11" xfId="0" applyFont="1" applyFill="1" applyBorder="1" applyAlignment="1">
      <alignment vertical="center" wrapText="1"/>
    </xf>
    <xf numFmtId="0" fontId="25" fillId="29" borderId="21" xfId="0" applyFont="1" applyFill="1" applyBorder="1" applyAlignment="1">
      <alignment horizontal="left" vertical="center" wrapText="1"/>
    </xf>
    <xf numFmtId="169" fontId="34" fillId="37" borderId="21" xfId="167" applyNumberFormat="1" applyFont="1" applyFill="1" applyBorder="1" applyAlignment="1">
      <alignment vertical="center" wrapText="1"/>
    </xf>
    <xf numFmtId="169" fontId="34" fillId="37" borderId="21" xfId="167" applyNumberFormat="1" applyFont="1" applyFill="1" applyBorder="1" applyAlignment="1">
      <alignment horizontal="center" vertical="center" wrapText="1"/>
    </xf>
    <xf numFmtId="0" fontId="25" fillId="29" borderId="21" xfId="0" applyFont="1" applyFill="1" applyBorder="1" applyAlignment="1">
      <alignment vertical="center" wrapText="1"/>
    </xf>
    <xf numFmtId="0" fontId="25" fillId="33" borderId="21" xfId="0" applyFont="1" applyFill="1" applyBorder="1" applyAlignment="1">
      <alignment vertical="center" wrapText="1"/>
    </xf>
    <xf numFmtId="0" fontId="25" fillId="33" borderId="0" xfId="0" applyFont="1" applyFill="1" applyAlignment="1">
      <alignment vertical="center" wrapText="1"/>
    </xf>
    <xf numFmtId="0" fontId="25" fillId="29" borderId="21" xfId="0" applyFont="1" applyFill="1" applyBorder="1" applyAlignment="1">
      <alignment horizontal="left" vertical="center"/>
    </xf>
    <xf numFmtId="0" fontId="34" fillId="0" borderId="0" xfId="167" applyFont="1" applyAlignment="1">
      <alignment vertical="center" wrapText="1"/>
    </xf>
    <xf numFmtId="0" fontId="40" fillId="33" borderId="21" xfId="0" applyFont="1" applyFill="1" applyBorder="1" applyAlignment="1">
      <alignment horizontal="left" vertical="center" wrapText="1"/>
    </xf>
    <xf numFmtId="0" fontId="40" fillId="33" borderId="0" xfId="0" applyFont="1" applyFill="1" applyAlignment="1">
      <alignment horizontal="left" vertical="center" wrapText="1"/>
    </xf>
    <xf numFmtId="0" fontId="25" fillId="35" borderId="29" xfId="0" applyFont="1" applyFill="1" applyBorder="1" applyAlignment="1">
      <alignment horizontal="left" vertical="center" wrapText="1"/>
    </xf>
    <xf numFmtId="0" fontId="25" fillId="34" borderId="21" xfId="167" applyFont="1" applyFill="1" applyBorder="1" applyAlignment="1">
      <alignment horizontal="left" vertical="center" wrapText="1"/>
    </xf>
    <xf numFmtId="0" fontId="34" fillId="33" borderId="20" xfId="167" applyFont="1" applyFill="1" applyBorder="1" applyAlignment="1">
      <alignment horizontal="center" vertical="center" wrapText="1"/>
    </xf>
    <xf numFmtId="0" fontId="25" fillId="33" borderId="29"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25" fillId="34" borderId="29" xfId="0" applyFont="1" applyFill="1" applyBorder="1" applyAlignment="1">
      <alignment horizontal="left" vertical="center" wrapText="1"/>
    </xf>
    <xf numFmtId="0" fontId="25" fillId="34" borderId="11" xfId="0" applyFont="1" applyFill="1" applyBorder="1" applyAlignment="1">
      <alignment horizontal="left" vertical="center" wrapText="1"/>
    </xf>
    <xf numFmtId="0" fontId="25" fillId="33" borderId="11" xfId="0" applyFont="1" applyFill="1" applyBorder="1" applyAlignment="1">
      <alignment horizontal="left" vertical="center"/>
    </xf>
    <xf numFmtId="0" fontId="25" fillId="33" borderId="11" xfId="0" applyFont="1" applyFill="1" applyBorder="1" applyAlignment="1">
      <alignment vertical="center" wrapText="1"/>
    </xf>
    <xf numFmtId="0" fontId="25" fillId="34" borderId="21" xfId="0" applyFont="1" applyFill="1" applyBorder="1" applyAlignment="1">
      <alignment horizontal="left" vertical="center" wrapText="1"/>
    </xf>
    <xf numFmtId="0" fontId="25" fillId="0" borderId="0" xfId="0" applyFont="1"/>
    <xf numFmtId="0" fontId="25" fillId="35" borderId="21" xfId="167" applyFont="1" applyFill="1" applyBorder="1" applyAlignment="1">
      <alignment horizontal="left" wrapText="1"/>
    </xf>
    <xf numFmtId="0" fontId="25" fillId="35" borderId="21" xfId="167" applyFont="1" applyFill="1" applyBorder="1" applyAlignment="1">
      <alignment horizontal="left" vertical="center" wrapText="1"/>
    </xf>
    <xf numFmtId="0" fontId="25" fillId="35" borderId="21" xfId="167" applyFont="1" applyFill="1" applyBorder="1" applyAlignment="1">
      <alignment vertical="center" wrapText="1"/>
    </xf>
    <xf numFmtId="165" fontId="25" fillId="0" borderId="0" xfId="0" applyNumberFormat="1" applyFont="1"/>
    <xf numFmtId="0" fontId="25" fillId="0" borderId="0" xfId="0" applyFont="1" applyFill="1"/>
    <xf numFmtId="169" fontId="34" fillId="37" borderId="21" xfId="167" applyNumberFormat="1" applyFont="1" applyFill="1" applyBorder="1" applyAlignment="1">
      <alignment horizontal="left" vertical="center" wrapText="1"/>
    </xf>
    <xf numFmtId="0" fontId="25" fillId="38" borderId="21" xfId="0" applyFont="1" applyFill="1" applyBorder="1" applyAlignment="1">
      <alignment vertical="center"/>
    </xf>
    <xf numFmtId="0" fontId="25" fillId="38" borderId="21" xfId="0" applyFont="1" applyFill="1" applyBorder="1" applyAlignment="1">
      <alignment vertical="center" wrapText="1"/>
    </xf>
    <xf numFmtId="170" fontId="25" fillId="0" borderId="0" xfId="153" applyNumberFormat="1" applyFont="1"/>
    <xf numFmtId="0" fontId="25" fillId="0" borderId="21" xfId="0" applyFont="1" applyBorder="1" applyAlignment="1">
      <alignment vertical="center"/>
    </xf>
    <xf numFmtId="0" fontId="25" fillId="0" borderId="21" xfId="0" applyFont="1" applyBorder="1" applyAlignment="1">
      <alignment vertical="center" wrapText="1"/>
    </xf>
    <xf numFmtId="170" fontId="25" fillId="0" borderId="21" xfId="0" applyNumberFormat="1" applyFont="1" applyBorder="1" applyAlignment="1">
      <alignment vertical="center"/>
    </xf>
    <xf numFmtId="0" fontId="34" fillId="38" borderId="21" xfId="0" applyFont="1" applyFill="1" applyBorder="1" applyAlignment="1">
      <alignment vertical="center"/>
    </xf>
    <xf numFmtId="0" fontId="34" fillId="39" borderId="21" xfId="0" applyFont="1" applyFill="1" applyBorder="1" applyAlignment="1">
      <alignment vertical="center"/>
    </xf>
    <xf numFmtId="0" fontId="34" fillId="39" borderId="21" xfId="0" applyFont="1" applyFill="1" applyBorder="1" applyAlignment="1">
      <alignment vertical="center" wrapText="1"/>
    </xf>
    <xf numFmtId="171" fontId="25" fillId="34" borderId="21" xfId="0" applyNumberFormat="1" applyFont="1" applyFill="1" applyBorder="1" applyAlignment="1">
      <alignment vertical="center"/>
    </xf>
    <xf numFmtId="170" fontId="25" fillId="35" borderId="21" xfId="0" applyNumberFormat="1" applyFont="1" applyFill="1" applyBorder="1" applyAlignment="1">
      <alignment vertical="center"/>
    </xf>
    <xf numFmtId="171" fontId="25" fillId="33" borderId="21" xfId="0" applyNumberFormat="1" applyFont="1" applyFill="1" applyBorder="1" applyAlignment="1">
      <alignment vertical="center" wrapText="1"/>
    </xf>
    <xf numFmtId="171" fontId="25" fillId="0" borderId="21" xfId="0" applyNumberFormat="1" applyFont="1" applyBorder="1" applyAlignment="1">
      <alignment vertical="center"/>
    </xf>
    <xf numFmtId="0" fontId="41" fillId="40" borderId="21" xfId="0" applyFont="1" applyFill="1" applyBorder="1" applyAlignment="1">
      <alignment vertical="center"/>
    </xf>
    <xf numFmtId="171" fontId="41" fillId="40" borderId="21" xfId="0" applyNumberFormat="1" applyFont="1" applyFill="1" applyBorder="1" applyAlignment="1">
      <alignment vertical="center"/>
    </xf>
    <xf numFmtId="171" fontId="41" fillId="40" borderId="21" xfId="0" applyNumberFormat="1" applyFont="1" applyFill="1" applyBorder="1" applyAlignment="1">
      <alignment vertical="center" wrapText="1"/>
    </xf>
    <xf numFmtId="0" fontId="25" fillId="0" borderId="0" xfId="0" applyFont="1" applyAlignment="1">
      <alignment vertical="center"/>
    </xf>
    <xf numFmtId="0" fontId="25" fillId="0" borderId="0" xfId="0" applyFont="1" applyAlignment="1">
      <alignment vertical="center" wrapText="1"/>
    </xf>
    <xf numFmtId="0" fontId="34" fillId="0" borderId="0" xfId="0" applyFont="1" applyFill="1" applyBorder="1" applyAlignment="1">
      <alignment vertical="center"/>
    </xf>
    <xf numFmtId="0" fontId="34" fillId="0" borderId="21" xfId="0" applyFont="1" applyBorder="1" applyAlignment="1">
      <alignment vertical="center"/>
    </xf>
    <xf numFmtId="171" fontId="34" fillId="0" borderId="21" xfId="0" applyNumberFormat="1" applyFont="1" applyBorder="1" applyAlignment="1">
      <alignment vertical="center"/>
    </xf>
    <xf numFmtId="170" fontId="34" fillId="27" borderId="30" xfId="153" applyNumberFormat="1" applyFont="1" applyFill="1" applyBorder="1" applyAlignment="1">
      <alignment vertical="center" wrapText="1"/>
    </xf>
    <xf numFmtId="170" fontId="34" fillId="27" borderId="30" xfId="153" applyNumberFormat="1" applyFont="1" applyFill="1" applyBorder="1" applyAlignment="1">
      <alignment horizontal="center" vertical="center"/>
    </xf>
    <xf numFmtId="170" fontId="34" fillId="27" borderId="30" xfId="153" applyNumberFormat="1" applyFont="1" applyFill="1" applyBorder="1" applyAlignment="1">
      <alignment horizontal="center" vertical="center" wrapText="1"/>
    </xf>
    <xf numFmtId="0" fontId="34" fillId="25" borderId="21" xfId="167" applyFont="1" applyFill="1" applyBorder="1" applyAlignment="1">
      <alignment vertical="center" wrapText="1"/>
    </xf>
    <xf numFmtId="0" fontId="34" fillId="25" borderId="21" xfId="167" applyFont="1" applyFill="1" applyBorder="1" applyAlignment="1">
      <alignment horizontal="center" vertical="center" wrapText="1"/>
    </xf>
    <xf numFmtId="166" fontId="34" fillId="25" borderId="21" xfId="167" applyNumberFormat="1" applyFont="1" applyFill="1" applyBorder="1" applyAlignment="1">
      <alignment horizontal="center" vertical="center"/>
    </xf>
    <xf numFmtId="169" fontId="34" fillId="25" borderId="21" xfId="167" applyNumberFormat="1" applyFont="1" applyFill="1" applyBorder="1" applyAlignment="1">
      <alignment horizontal="center" vertical="center" wrapText="1"/>
    </xf>
    <xf numFmtId="170" fontId="25" fillId="0" borderId="21" xfId="153" applyNumberFormat="1" applyFont="1" applyFill="1" applyBorder="1" applyAlignment="1">
      <alignment vertical="center"/>
    </xf>
    <xf numFmtId="170" fontId="25" fillId="34" borderId="21" xfId="0" applyNumberFormat="1" applyFont="1" applyFill="1" applyBorder="1" applyAlignment="1">
      <alignment vertical="center"/>
    </xf>
    <xf numFmtId="170" fontId="25" fillId="35" borderId="21" xfId="0" applyNumberFormat="1" applyFont="1" applyFill="1" applyBorder="1" applyAlignment="1">
      <alignment vertical="center" wrapText="1"/>
    </xf>
    <xf numFmtId="170" fontId="25" fillId="33" borderId="21" xfId="0" applyNumberFormat="1" applyFont="1" applyFill="1" applyBorder="1" applyAlignment="1">
      <alignment vertical="center"/>
    </xf>
    <xf numFmtId="169" fontId="34" fillId="31" borderId="21" xfId="85" applyNumberFormat="1" applyFont="1" applyFill="1" applyBorder="1" applyAlignment="1">
      <alignment horizontal="right" vertical="center"/>
    </xf>
    <xf numFmtId="169" fontId="34" fillId="31" borderId="21" xfId="85" applyNumberFormat="1" applyFont="1" applyFill="1" applyBorder="1" applyAlignment="1">
      <alignment horizontal="right" vertical="center" wrapText="1"/>
    </xf>
    <xf numFmtId="0" fontId="34" fillId="0" borderId="0" xfId="0" applyFont="1" applyAlignment="1">
      <alignment vertical="center"/>
    </xf>
    <xf numFmtId="0" fontId="25" fillId="0" borderId="0" xfId="0" applyFont="1" applyAlignment="1">
      <alignment horizontal="left" vertical="center" wrapText="1"/>
    </xf>
    <xf numFmtId="171" fontId="25" fillId="33" borderId="21" xfId="0" applyNumberFormat="1" applyFont="1" applyFill="1" applyBorder="1" applyAlignment="1">
      <alignment vertical="center"/>
    </xf>
    <xf numFmtId="170" fontId="41" fillId="40" borderId="21" xfId="0" applyNumberFormat="1" applyFont="1" applyFill="1" applyBorder="1" applyAlignment="1">
      <alignment vertical="center"/>
    </xf>
    <xf numFmtId="170" fontId="25" fillId="0" borderId="0" xfId="0" applyNumberFormat="1" applyFont="1"/>
    <xf numFmtId="171" fontId="34" fillId="34" borderId="21" xfId="0" applyNumberFormat="1" applyFont="1" applyFill="1" applyBorder="1" applyAlignment="1">
      <alignment vertical="center"/>
    </xf>
    <xf numFmtId="170" fontId="34" fillId="41" borderId="0" xfId="153" applyNumberFormat="1" applyFont="1" applyFill="1" applyBorder="1" applyAlignment="1">
      <alignment vertical="center"/>
    </xf>
    <xf numFmtId="169" fontId="34" fillId="25" borderId="21" xfId="167" applyNumberFormat="1" applyFont="1" applyFill="1" applyBorder="1" applyAlignment="1">
      <alignment horizontal="center" vertical="center"/>
    </xf>
    <xf numFmtId="0" fontId="25" fillId="41" borderId="0" xfId="0" applyFont="1" applyFill="1"/>
    <xf numFmtId="0" fontId="40" fillId="33" borderId="29" xfId="0" applyFont="1" applyFill="1" applyBorder="1" applyAlignment="1">
      <alignment vertical="center" wrapText="1"/>
    </xf>
    <xf numFmtId="49" fontId="25" fillId="35" borderId="21" xfId="167" applyNumberFormat="1" applyFont="1" applyFill="1" applyBorder="1" applyAlignment="1">
      <alignment vertical="center" wrapText="1"/>
    </xf>
    <xf numFmtId="170" fontId="25" fillId="33" borderId="21" xfId="0" applyNumberFormat="1" applyFont="1" applyFill="1" applyBorder="1" applyAlignment="1">
      <alignment vertical="center" wrapText="1"/>
    </xf>
    <xf numFmtId="171" fontId="34" fillId="35" borderId="21" xfId="0" applyNumberFormat="1" applyFont="1" applyFill="1" applyBorder="1" applyAlignment="1">
      <alignment vertical="center"/>
    </xf>
    <xf numFmtId="0" fontId="25" fillId="30" borderId="21" xfId="167" applyFont="1" applyFill="1" applyBorder="1" applyAlignment="1">
      <alignment vertical="center" wrapText="1"/>
    </xf>
    <xf numFmtId="169" fontId="25" fillId="30" borderId="21" xfId="167" applyNumberFormat="1" applyFont="1" applyFill="1" applyBorder="1" applyAlignment="1">
      <alignment vertical="center" wrapText="1"/>
    </xf>
    <xf numFmtId="169" fontId="25" fillId="0" borderId="0" xfId="0" applyNumberFormat="1" applyFont="1"/>
    <xf numFmtId="171" fontId="34" fillId="33" borderId="21" xfId="0" applyNumberFormat="1" applyFont="1" applyFill="1" applyBorder="1" applyAlignment="1">
      <alignment vertical="center"/>
    </xf>
    <xf numFmtId="0" fontId="34" fillId="0" borderId="0" xfId="0" applyFont="1" applyBorder="1" applyAlignment="1">
      <alignment vertical="center"/>
    </xf>
    <xf numFmtId="0" fontId="34" fillId="0" borderId="0" xfId="0" applyFont="1" applyBorder="1"/>
    <xf numFmtId="170" fontId="34" fillId="27" borderId="30" xfId="153" applyNumberFormat="1" applyFont="1" applyFill="1" applyBorder="1" applyAlignment="1">
      <alignment vertical="center"/>
    </xf>
    <xf numFmtId="0" fontId="34" fillId="41" borderId="0" xfId="0" applyFont="1" applyFill="1" applyBorder="1"/>
    <xf numFmtId="170" fontId="25" fillId="0" borderId="0" xfId="153" applyNumberFormat="1" applyFont="1" applyAlignment="1">
      <alignment vertical="center"/>
    </xf>
    <xf numFmtId="169" fontId="25" fillId="0" borderId="0" xfId="0" applyNumberFormat="1" applyFont="1" applyAlignment="1">
      <alignment vertical="center"/>
    </xf>
    <xf numFmtId="0" fontId="25" fillId="0" borderId="21" xfId="0" applyFont="1" applyBorder="1"/>
    <xf numFmtId="0" fontId="34" fillId="25" borderId="21" xfId="167" applyFont="1" applyFill="1" applyBorder="1" applyAlignment="1">
      <alignment wrapText="1"/>
    </xf>
    <xf numFmtId="0" fontId="25" fillId="0" borderId="21" xfId="0" applyFont="1" applyBorder="1" applyAlignment="1">
      <alignment wrapText="1"/>
    </xf>
    <xf numFmtId="0" fontId="34" fillId="31" borderId="21" xfId="167" applyFont="1" applyFill="1" applyBorder="1" applyAlignment="1">
      <alignment horizontal="left" wrapText="1"/>
    </xf>
    <xf numFmtId="0" fontId="41" fillId="35" borderId="21" xfId="0" applyFont="1" applyFill="1" applyBorder="1" applyAlignment="1">
      <alignment vertical="center"/>
    </xf>
    <xf numFmtId="171" fontId="41" fillId="34" borderId="21" xfId="0" applyNumberFormat="1" applyFont="1" applyFill="1" applyBorder="1" applyAlignment="1">
      <alignment vertical="center"/>
    </xf>
    <xf numFmtId="171" fontId="41" fillId="35" borderId="21" xfId="0" applyNumberFormat="1" applyFont="1" applyFill="1" applyBorder="1" applyAlignment="1">
      <alignment vertical="center"/>
    </xf>
    <xf numFmtId="0" fontId="25" fillId="40" borderId="21" xfId="167" applyFont="1" applyFill="1" applyBorder="1" applyAlignment="1">
      <alignment horizontal="left" vertical="center" wrapText="1"/>
    </xf>
    <xf numFmtId="169" fontId="25" fillId="30" borderId="21" xfId="167" applyNumberFormat="1" applyFont="1" applyFill="1" applyBorder="1" applyAlignment="1">
      <alignment horizontal="center" vertical="center" wrapText="1"/>
    </xf>
    <xf numFmtId="170" fontId="34" fillId="34" borderId="21" xfId="0" applyNumberFormat="1" applyFont="1" applyFill="1" applyBorder="1" applyAlignment="1">
      <alignment vertical="center"/>
    </xf>
    <xf numFmtId="0" fontId="25" fillId="0" borderId="0" xfId="167" applyFont="1" applyAlignment="1">
      <alignment vertical="center" wrapText="1"/>
    </xf>
    <xf numFmtId="170" fontId="25" fillId="0" borderId="0" xfId="153" applyNumberFormat="1" applyFont="1" applyAlignment="1">
      <alignment vertical="center" wrapText="1"/>
    </xf>
    <xf numFmtId="169" fontId="25" fillId="0" borderId="0" xfId="0" applyNumberFormat="1" applyFont="1" applyAlignment="1">
      <alignment vertical="center" wrapText="1"/>
    </xf>
    <xf numFmtId="0" fontId="34" fillId="0" borderId="0" xfId="0" applyFont="1" applyAlignment="1">
      <alignment vertical="center" wrapText="1"/>
    </xf>
    <xf numFmtId="166" fontId="34" fillId="25" borderId="21" xfId="167" applyNumberFormat="1" applyFont="1" applyFill="1" applyBorder="1" applyAlignment="1">
      <alignment horizontal="center" vertical="center" wrapText="1"/>
    </xf>
    <xf numFmtId="0" fontId="25" fillId="29" borderId="21" xfId="167" applyFont="1" applyFill="1" applyBorder="1" applyAlignment="1">
      <alignment horizontal="center" vertical="center" wrapText="1"/>
    </xf>
    <xf numFmtId="0" fontId="34" fillId="39" borderId="21" xfId="0" applyFont="1" applyFill="1" applyBorder="1" applyAlignment="1">
      <alignment horizontal="center" vertical="center"/>
    </xf>
    <xf numFmtId="171" fontId="25" fillId="0" borderId="0" xfId="0" applyNumberFormat="1" applyFont="1" applyFill="1" applyBorder="1" applyAlignment="1">
      <alignment vertical="center"/>
    </xf>
    <xf numFmtId="170" fontId="25" fillId="0" borderId="0" xfId="0" applyNumberFormat="1" applyFont="1" applyFill="1" applyBorder="1" applyAlignment="1">
      <alignment vertical="center"/>
    </xf>
    <xf numFmtId="171" fontId="34" fillId="0" borderId="0" xfId="0" applyNumberFormat="1" applyFont="1" applyFill="1" applyBorder="1" applyAlignment="1">
      <alignment vertical="center"/>
    </xf>
    <xf numFmtId="170" fontId="41" fillId="35" borderId="21" xfId="0" applyNumberFormat="1" applyFont="1" applyFill="1" applyBorder="1" applyAlignment="1">
      <alignment vertical="center"/>
    </xf>
    <xf numFmtId="171" fontId="25" fillId="0" borderId="0" xfId="0" applyNumberFormat="1" applyFont="1" applyAlignment="1">
      <alignment vertical="center"/>
    </xf>
    <xf numFmtId="0" fontId="34" fillId="42" borderId="21" xfId="0" applyFont="1" applyFill="1" applyBorder="1" applyAlignment="1">
      <alignment vertical="center"/>
    </xf>
    <xf numFmtId="171" fontId="34" fillId="42" borderId="21" xfId="0" applyNumberFormat="1" applyFont="1" applyFill="1" applyBorder="1" applyAlignment="1">
      <alignment vertical="center"/>
    </xf>
    <xf numFmtId="170" fontId="34" fillId="27" borderId="30" xfId="0" applyNumberFormat="1" applyFont="1" applyFill="1" applyBorder="1" applyAlignment="1">
      <alignment horizontal="center" vertical="center"/>
    </xf>
    <xf numFmtId="169" fontId="25" fillId="30" borderId="29" xfId="167" applyNumberFormat="1" applyFont="1" applyFill="1" applyBorder="1" applyAlignment="1">
      <alignment vertical="center" wrapText="1"/>
    </xf>
    <xf numFmtId="0" fontId="25" fillId="0" borderId="0" xfId="161" applyFont="1"/>
    <xf numFmtId="0" fontId="25" fillId="0" borderId="0" xfId="161" applyFont="1" applyBorder="1"/>
    <xf numFmtId="0" fontId="34" fillId="27" borderId="31" xfId="161" applyFont="1" applyFill="1" applyBorder="1" applyAlignment="1">
      <alignment horizontal="center" vertical="center"/>
    </xf>
    <xf numFmtId="0" fontId="34" fillId="27" borderId="21" xfId="161" applyFont="1" applyFill="1" applyBorder="1" applyAlignment="1">
      <alignment horizontal="center" vertical="center"/>
    </xf>
    <xf numFmtId="0" fontId="34" fillId="27" borderId="22" xfId="161" applyFont="1" applyFill="1" applyBorder="1" applyAlignment="1">
      <alignment horizontal="center" vertical="center"/>
    </xf>
    <xf numFmtId="0" fontId="34" fillId="27" borderId="32" xfId="161" applyFont="1" applyFill="1" applyBorder="1" applyAlignment="1">
      <alignment horizontal="center" vertical="center"/>
    </xf>
    <xf numFmtId="0" fontId="42" fillId="27" borderId="31" xfId="161" applyFont="1" applyFill="1" applyBorder="1" applyAlignment="1">
      <alignment horizontal="center" vertical="center"/>
    </xf>
    <xf numFmtId="0" fontId="42" fillId="27" borderId="32" xfId="161" applyFont="1" applyFill="1" applyBorder="1" applyAlignment="1">
      <alignment horizontal="center" vertical="center"/>
    </xf>
    <xf numFmtId="0" fontId="43" fillId="43" borderId="22" xfId="161" applyFont="1" applyFill="1" applyBorder="1" applyAlignment="1">
      <alignment vertical="center"/>
    </xf>
    <xf numFmtId="0" fontId="34" fillId="26" borderId="22" xfId="161" applyFont="1" applyFill="1" applyBorder="1" applyAlignment="1">
      <alignment vertical="center"/>
    </xf>
    <xf numFmtId="0" fontId="34" fillId="35" borderId="22" xfId="161" applyFont="1" applyFill="1" applyBorder="1" applyAlignment="1">
      <alignment vertical="center"/>
    </xf>
    <xf numFmtId="0" fontId="25" fillId="0" borderId="22" xfId="161" applyFont="1" applyBorder="1" applyAlignment="1">
      <alignment vertical="center"/>
    </xf>
    <xf numFmtId="0" fontId="25" fillId="0" borderId="0" xfId="161" applyFont="1" applyAlignment="1">
      <alignment vertical="center"/>
    </xf>
    <xf numFmtId="0" fontId="25" fillId="0" borderId="22" xfId="161" applyFont="1" applyBorder="1" applyAlignment="1">
      <alignment horizontal="right" vertical="center"/>
    </xf>
    <xf numFmtId="0" fontId="25" fillId="41" borderId="22" xfId="161" applyFont="1" applyFill="1" applyBorder="1" applyAlignment="1">
      <alignment horizontal="right" vertical="center"/>
    </xf>
    <xf numFmtId="0" fontId="34" fillId="27" borderId="31" xfId="161" applyFont="1" applyFill="1" applyBorder="1" applyAlignment="1">
      <alignment horizontal="center"/>
    </xf>
    <xf numFmtId="0" fontId="34" fillId="27" borderId="32" xfId="161" applyFont="1" applyFill="1" applyBorder="1" applyAlignment="1">
      <alignment horizontal="center"/>
    </xf>
    <xf numFmtId="0" fontId="43" fillId="43" borderId="22" xfId="161" applyFont="1" applyFill="1" applyBorder="1"/>
    <xf numFmtId="0" fontId="34" fillId="0" borderId="22" xfId="161" applyFont="1" applyFill="1" applyBorder="1"/>
    <xf numFmtId="0" fontId="47" fillId="0" borderId="22" xfId="161" applyFont="1" applyBorder="1" applyAlignment="1">
      <alignment horizontal="right"/>
    </xf>
    <xf numFmtId="0" fontId="34" fillId="0" borderId="22" xfId="161" applyFont="1" applyBorder="1"/>
    <xf numFmtId="0" fontId="43" fillId="43" borderId="22" xfId="161" applyFont="1" applyFill="1" applyBorder="1" applyAlignment="1"/>
    <xf numFmtId="0" fontId="25" fillId="0" borderId="22" xfId="161" applyFont="1" applyBorder="1"/>
    <xf numFmtId="0" fontId="34" fillId="37" borderId="22" xfId="161" applyFont="1" applyFill="1" applyBorder="1"/>
    <xf numFmtId="170" fontId="25" fillId="0" borderId="0" xfId="104" applyNumberFormat="1" applyFont="1"/>
    <xf numFmtId="170" fontId="25" fillId="0" borderId="0" xfId="161" applyNumberFormat="1" applyFont="1"/>
    <xf numFmtId="3" fontId="25" fillId="0" borderId="0" xfId="161" applyNumberFormat="1" applyFont="1"/>
    <xf numFmtId="166" fontId="25" fillId="0" borderId="0" xfId="167" applyNumberFormat="1" applyFont="1"/>
    <xf numFmtId="169" fontId="25" fillId="0" borderId="0" xfId="167" applyNumberFormat="1" applyFont="1"/>
    <xf numFmtId="169" fontId="34" fillId="31" borderId="21" xfId="167" applyNumberFormat="1" applyFont="1" applyFill="1" applyBorder="1" applyAlignment="1">
      <alignment wrapText="1"/>
    </xf>
    <xf numFmtId="0" fontId="25" fillId="0" borderId="21" xfId="167" applyFont="1" applyBorder="1" applyAlignment="1">
      <alignment wrapText="1"/>
    </xf>
    <xf numFmtId="0" fontId="34" fillId="32" borderId="21" xfId="167" applyFont="1" applyFill="1" applyBorder="1" applyAlignment="1">
      <alignment wrapText="1"/>
    </xf>
    <xf numFmtId="0" fontId="25" fillId="0" borderId="0" xfId="167" applyFont="1" applyAlignment="1">
      <alignment wrapText="1"/>
    </xf>
    <xf numFmtId="170" fontId="25" fillId="0" borderId="0" xfId="167" applyNumberFormat="1" applyFont="1"/>
    <xf numFmtId="0" fontId="49" fillId="28" borderId="21" xfId="0" applyFont="1" applyFill="1" applyBorder="1" applyAlignment="1">
      <alignment vertical="center" wrapText="1"/>
    </xf>
    <xf numFmtId="0" fontId="49" fillId="28" borderId="21" xfId="0" applyFont="1" applyFill="1" applyBorder="1" applyAlignment="1">
      <alignment horizontal="center" vertical="center" wrapText="1"/>
    </xf>
    <xf numFmtId="0" fontId="40" fillId="0" borderId="21" xfId="0" applyFont="1" applyBorder="1" applyAlignment="1">
      <alignment wrapText="1"/>
    </xf>
    <xf numFmtId="0" fontId="40" fillId="0" borderId="21" xfId="0" applyFont="1" applyBorder="1" applyAlignment="1">
      <alignment vertical="center" wrapText="1"/>
    </xf>
    <xf numFmtId="170" fontId="34" fillId="35" borderId="21" xfId="0" applyNumberFormat="1" applyFont="1" applyFill="1" applyBorder="1" applyAlignment="1">
      <alignment vertical="center"/>
    </xf>
    <xf numFmtId="0" fontId="25" fillId="37" borderId="21" xfId="167" applyFont="1" applyFill="1" applyBorder="1" applyAlignment="1">
      <alignment horizontal="left" vertical="center" wrapText="1"/>
    </xf>
    <xf numFmtId="0" fontId="46" fillId="41" borderId="21" xfId="0" applyFont="1" applyFill="1" applyBorder="1" applyAlignment="1">
      <alignment vertical="center"/>
    </xf>
    <xf numFmtId="171" fontId="44" fillId="0" borderId="0" xfId="0" applyNumberFormat="1" applyFont="1" applyBorder="1" applyAlignment="1">
      <alignment vertical="center"/>
    </xf>
    <xf numFmtId="169" fontId="25" fillId="37" borderId="21" xfId="167" applyNumberFormat="1" applyFont="1" applyFill="1" applyBorder="1" applyAlignment="1">
      <alignment horizontal="left" vertical="center" wrapText="1"/>
    </xf>
    <xf numFmtId="169" fontId="25" fillId="37" borderId="21" xfId="167" applyNumberFormat="1" applyFont="1" applyFill="1" applyBorder="1" applyAlignment="1">
      <alignment vertical="center" wrapText="1"/>
    </xf>
    <xf numFmtId="169" fontId="25" fillId="37" borderId="21" xfId="167" applyNumberFormat="1" applyFont="1" applyFill="1" applyBorder="1" applyAlignment="1">
      <alignment horizontal="center" vertical="center" wrapText="1"/>
    </xf>
    <xf numFmtId="171" fontId="44" fillId="0" borderId="0" xfId="0" applyNumberFormat="1" applyFont="1" applyBorder="1" applyAlignment="1">
      <alignment horizontal="left" vertical="center"/>
    </xf>
    <xf numFmtId="0" fontId="25" fillId="0" borderId="0" xfId="0" applyFont="1" applyFill="1" applyAlignment="1">
      <alignment vertical="center"/>
    </xf>
    <xf numFmtId="170" fontId="34" fillId="27" borderId="30" xfId="0" applyNumberFormat="1" applyFont="1" applyFill="1" applyBorder="1" applyAlignment="1">
      <alignment vertical="center"/>
    </xf>
    <xf numFmtId="0" fontId="25" fillId="34" borderId="29" xfId="0" applyFont="1" applyFill="1" applyBorder="1" applyAlignment="1">
      <alignment horizontal="left" vertical="center" wrapText="1"/>
    </xf>
    <xf numFmtId="0" fontId="25" fillId="34" borderId="21" xfId="0" applyFont="1" applyFill="1" applyBorder="1" applyAlignment="1">
      <alignment horizontal="left" vertical="center" wrapText="1"/>
    </xf>
    <xf numFmtId="0" fontId="25" fillId="34" borderId="29" xfId="0" applyFont="1" applyFill="1" applyBorder="1" applyAlignment="1">
      <alignment vertical="center"/>
    </xf>
    <xf numFmtId="0" fontId="25" fillId="34" borderId="20" xfId="167" applyFont="1" applyFill="1" applyBorder="1" applyAlignment="1">
      <alignment horizontal="left" vertical="center" wrapText="1"/>
    </xf>
    <xf numFmtId="0" fontId="25" fillId="35" borderId="11" xfId="0" applyFont="1" applyFill="1" applyBorder="1" applyAlignment="1">
      <alignment horizontal="left" vertical="center" wrapText="1"/>
    </xf>
    <xf numFmtId="0" fontId="25" fillId="34" borderId="21" xfId="0" applyFont="1" applyFill="1" applyBorder="1" applyAlignment="1">
      <alignment horizontal="left" vertical="center" wrapText="1"/>
    </xf>
    <xf numFmtId="0" fontId="25" fillId="35" borderId="21" xfId="0" applyFont="1" applyFill="1" applyBorder="1" applyAlignment="1">
      <alignment horizontal="left" vertical="center" wrapText="1"/>
    </xf>
    <xf numFmtId="0" fontId="25" fillId="35" borderId="21" xfId="0" applyFont="1" applyFill="1" applyBorder="1" applyAlignment="1">
      <alignment horizontal="left" vertical="top" wrapText="1"/>
    </xf>
    <xf numFmtId="169" fontId="34" fillId="30" borderId="22" xfId="167" applyNumberFormat="1" applyFont="1" applyFill="1" applyBorder="1" applyAlignment="1">
      <alignment vertical="center" wrapText="1"/>
    </xf>
    <xf numFmtId="169" fontId="34" fillId="30" borderId="21" xfId="167" applyNumberFormat="1" applyFont="1" applyFill="1" applyBorder="1" applyAlignment="1">
      <alignment vertical="center" wrapText="1"/>
    </xf>
    <xf numFmtId="0" fontId="25" fillId="35" borderId="29" xfId="167" applyFont="1" applyFill="1" applyBorder="1" applyAlignment="1">
      <alignment vertical="center" wrapText="1"/>
    </xf>
    <xf numFmtId="0" fontId="34" fillId="29" borderId="35" xfId="167" applyFont="1" applyFill="1" applyBorder="1" applyAlignment="1">
      <alignment vertical="center" wrapText="1"/>
    </xf>
    <xf numFmtId="0" fontId="34" fillId="29" borderId="28" xfId="167" applyFont="1" applyFill="1" applyBorder="1" applyAlignment="1">
      <alignment vertical="center" wrapText="1"/>
    </xf>
    <xf numFmtId="0" fontId="34" fillId="29" borderId="21" xfId="167" applyFont="1" applyFill="1" applyBorder="1" applyAlignment="1">
      <alignment vertical="center" wrapText="1"/>
    </xf>
    <xf numFmtId="0" fontId="50" fillId="0" borderId="0" xfId="0" applyFont="1" applyAlignment="1">
      <alignment vertical="center"/>
    </xf>
    <xf numFmtId="0" fontId="44" fillId="0" borderId="0" xfId="0" applyFont="1" applyAlignment="1">
      <alignment vertical="center"/>
    </xf>
    <xf numFmtId="0" fontId="25" fillId="35" borderId="29" xfId="0" applyFont="1" applyFill="1" applyBorder="1" applyAlignment="1">
      <alignment horizontal="left" vertical="center" wrapText="1"/>
    </xf>
    <xf numFmtId="0" fontId="25" fillId="33" borderId="11" xfId="0" applyFont="1" applyFill="1" applyBorder="1" applyAlignment="1">
      <alignment horizontal="left" vertical="center"/>
    </xf>
    <xf numFmtId="0" fontId="25" fillId="34" borderId="29" xfId="0" applyFont="1" applyFill="1" applyBorder="1" applyAlignment="1">
      <alignment horizontal="left" vertical="center"/>
    </xf>
    <xf numFmtId="0" fontId="25" fillId="34" borderId="21" xfId="0" applyFont="1" applyFill="1" applyBorder="1" applyAlignment="1">
      <alignment horizontal="left" vertical="center" wrapText="1"/>
    </xf>
    <xf numFmtId="2" fontId="25" fillId="33" borderId="11" xfId="167" applyNumberFormat="1" applyFont="1" applyFill="1" applyBorder="1" applyAlignment="1">
      <alignment horizontal="left" vertical="center" wrapText="1"/>
    </xf>
    <xf numFmtId="0" fontId="25" fillId="35" borderId="21" xfId="0" applyFont="1" applyFill="1" applyBorder="1" applyAlignment="1">
      <alignment horizontal="left" vertical="center" wrapText="1"/>
    </xf>
    <xf numFmtId="0" fontId="25" fillId="34" borderId="37" xfId="0" applyFont="1" applyFill="1" applyBorder="1" applyAlignment="1">
      <alignment horizontal="left" vertical="center" wrapText="1"/>
    </xf>
    <xf numFmtId="0" fontId="44" fillId="35" borderId="21" xfId="0" applyFont="1" applyFill="1" applyBorder="1" applyAlignment="1">
      <alignment vertical="center" wrapText="1"/>
    </xf>
    <xf numFmtId="0" fontId="44" fillId="34" borderId="21" xfId="0" applyFont="1" applyFill="1" applyBorder="1" applyAlignment="1">
      <alignment horizontal="left" vertical="center" wrapText="1"/>
    </xf>
    <xf numFmtId="0" fontId="44" fillId="33" borderId="21" xfId="0" applyFont="1" applyFill="1" applyBorder="1" applyAlignment="1">
      <alignment horizontal="left" vertical="center" wrapText="1"/>
    </xf>
    <xf numFmtId="0" fontId="44" fillId="33" borderId="21" xfId="0" applyFont="1" applyFill="1" applyBorder="1" applyAlignment="1">
      <alignment vertical="center" wrapText="1"/>
    </xf>
    <xf numFmtId="172" fontId="43" fillId="43" borderId="31" xfId="153" applyNumberFormat="1" applyFont="1" applyFill="1" applyBorder="1" applyAlignment="1">
      <alignment horizontal="right"/>
    </xf>
    <xf numFmtId="172" fontId="43" fillId="43" borderId="21" xfId="153" applyNumberFormat="1" applyFont="1" applyFill="1" applyBorder="1" applyAlignment="1">
      <alignment horizontal="right"/>
    </xf>
    <xf numFmtId="172" fontId="43" fillId="43" borderId="32" xfId="153" applyNumberFormat="1" applyFont="1" applyFill="1" applyBorder="1" applyAlignment="1">
      <alignment horizontal="right"/>
    </xf>
    <xf numFmtId="172" fontId="43" fillId="43" borderId="31" xfId="153" applyNumberFormat="1" applyFont="1" applyFill="1" applyBorder="1" applyAlignment="1">
      <alignment vertical="top"/>
    </xf>
    <xf numFmtId="172" fontId="43" fillId="43" borderId="21" xfId="153" applyNumberFormat="1" applyFont="1" applyFill="1" applyBorder="1" applyAlignment="1">
      <alignment vertical="top"/>
    </xf>
    <xf numFmtId="172" fontId="43" fillId="43" borderId="32" xfId="153" applyNumberFormat="1" applyFont="1" applyFill="1" applyBorder="1" applyAlignment="1">
      <alignment vertical="top"/>
    </xf>
    <xf numFmtId="172" fontId="43" fillId="43" borderId="28" xfId="153" applyNumberFormat="1" applyFont="1" applyFill="1" applyBorder="1" applyAlignment="1">
      <alignment vertical="top"/>
    </xf>
    <xf numFmtId="172" fontId="34" fillId="0" borderId="31" xfId="153" applyNumberFormat="1" applyFont="1" applyFill="1" applyBorder="1" applyAlignment="1">
      <alignment horizontal="right"/>
    </xf>
    <xf numFmtId="172" fontId="34" fillId="0" borderId="21" xfId="153" applyNumberFormat="1" applyFont="1" applyFill="1" applyBorder="1" applyAlignment="1">
      <alignment horizontal="right"/>
    </xf>
    <xf numFmtId="172" fontId="34" fillId="0" borderId="32" xfId="153" applyNumberFormat="1" applyFont="1" applyFill="1" applyBorder="1" applyAlignment="1">
      <alignment horizontal="right"/>
    </xf>
    <xf numFmtId="172" fontId="34" fillId="0" borderId="28" xfId="153" applyNumberFormat="1" applyFont="1" applyFill="1" applyBorder="1" applyAlignment="1">
      <alignment horizontal="right"/>
    </xf>
    <xf numFmtId="172" fontId="47" fillId="0" borderId="31" xfId="153" applyNumberFormat="1" applyFont="1" applyBorder="1"/>
    <xf numFmtId="172" fontId="47" fillId="0" borderId="21" xfId="153" applyNumberFormat="1" applyFont="1" applyBorder="1"/>
    <xf numFmtId="172" fontId="47" fillId="0" borderId="32" xfId="153" applyNumberFormat="1" applyFont="1" applyBorder="1"/>
    <xf numFmtId="172" fontId="47" fillId="0" borderId="31" xfId="153" applyNumberFormat="1" applyFont="1" applyBorder="1" applyAlignment="1"/>
    <xf numFmtId="172" fontId="47" fillId="0" borderId="21" xfId="153" applyNumberFormat="1" applyFont="1" applyBorder="1" applyAlignment="1"/>
    <xf numFmtId="172" fontId="47" fillId="0" borderId="32" xfId="153" applyNumberFormat="1" applyFont="1" applyBorder="1" applyAlignment="1">
      <alignment vertical="top"/>
    </xf>
    <xf numFmtId="172" fontId="47" fillId="0" borderId="28" xfId="153" applyNumberFormat="1" applyFont="1" applyFill="1" applyBorder="1" applyAlignment="1">
      <alignment horizontal="right"/>
    </xf>
    <xf numFmtId="172" fontId="48" fillId="0" borderId="31" xfId="153" applyNumberFormat="1" applyFont="1" applyBorder="1"/>
    <xf numFmtId="172" fontId="48" fillId="0" borderId="21" xfId="153" applyNumberFormat="1" applyFont="1" applyBorder="1"/>
    <xf numFmtId="172" fontId="48" fillId="0" borderId="32" xfId="153" applyNumberFormat="1" applyFont="1" applyBorder="1"/>
    <xf numFmtId="172" fontId="48" fillId="0" borderId="31" xfId="153" applyNumberFormat="1" applyFont="1" applyBorder="1" applyAlignment="1"/>
    <xf numFmtId="172" fontId="48" fillId="0" borderId="21" xfId="153" applyNumberFormat="1" applyFont="1" applyBorder="1" applyAlignment="1"/>
    <xf numFmtId="172" fontId="47" fillId="0" borderId="21" xfId="153" applyNumberFormat="1" applyFont="1" applyFill="1" applyBorder="1"/>
    <xf numFmtId="172" fontId="47" fillId="0" borderId="32" xfId="153" applyNumberFormat="1" applyFont="1" applyBorder="1" applyAlignment="1"/>
    <xf numFmtId="172" fontId="43" fillId="43" borderId="31" xfId="153" applyNumberFormat="1" applyFont="1" applyFill="1" applyBorder="1" applyAlignment="1"/>
    <xf numFmtId="172" fontId="43" fillId="43" borderId="21" xfId="153" applyNumberFormat="1" applyFont="1" applyFill="1" applyBorder="1" applyAlignment="1"/>
    <xf numFmtId="172" fontId="43" fillId="43" borderId="32" xfId="153" applyNumberFormat="1" applyFont="1" applyFill="1" applyBorder="1" applyAlignment="1"/>
    <xf numFmtId="172" fontId="43" fillId="43" borderId="28" xfId="153" applyNumberFormat="1" applyFont="1" applyFill="1" applyBorder="1" applyAlignment="1"/>
    <xf numFmtId="172" fontId="44" fillId="0" borderId="31" xfId="153" applyNumberFormat="1" applyFont="1" applyFill="1" applyBorder="1"/>
    <xf numFmtId="172" fontId="44" fillId="0" borderId="21" xfId="153" applyNumberFormat="1" applyFont="1" applyFill="1" applyBorder="1"/>
    <xf numFmtId="172" fontId="44" fillId="0" borderId="32" xfId="153" applyNumberFormat="1" applyFont="1" applyFill="1" applyBorder="1"/>
    <xf numFmtId="172" fontId="47" fillId="0" borderId="28" xfId="153" applyNumberFormat="1" applyFont="1" applyBorder="1" applyAlignment="1"/>
    <xf numFmtId="172" fontId="34" fillId="0" borderId="31" xfId="153" applyNumberFormat="1" applyFont="1" applyBorder="1"/>
    <xf numFmtId="172" fontId="34" fillId="0" borderId="21" xfId="153" applyNumberFormat="1" applyFont="1" applyBorder="1"/>
    <xf numFmtId="172" fontId="34" fillId="0" borderId="32" xfId="153" applyNumberFormat="1" applyFont="1" applyBorder="1"/>
    <xf numFmtId="172" fontId="34" fillId="0" borderId="31" xfId="153" applyNumberFormat="1" applyFont="1" applyBorder="1" applyAlignment="1"/>
    <xf numFmtId="172" fontId="34" fillId="0" borderId="31" xfId="153" applyNumberFormat="1" applyFont="1" applyFill="1" applyBorder="1" applyAlignment="1"/>
    <xf numFmtId="172" fontId="34" fillId="0" borderId="33" xfId="153" applyNumberFormat="1" applyFont="1" applyBorder="1"/>
    <xf numFmtId="172" fontId="34" fillId="35" borderId="34" xfId="153" applyNumberFormat="1" applyFont="1" applyFill="1" applyBorder="1"/>
    <xf numFmtId="172" fontId="34" fillId="0" borderId="28" xfId="153" applyNumberFormat="1" applyFont="1" applyBorder="1"/>
    <xf numFmtId="172" fontId="25" fillId="0" borderId="31" xfId="153" applyNumberFormat="1" applyFont="1" applyBorder="1"/>
    <xf numFmtId="172" fontId="25" fillId="0" borderId="21" xfId="153" applyNumberFormat="1" applyFont="1" applyBorder="1"/>
    <xf numFmtId="172" fontId="25" fillId="0" borderId="32" xfId="153" applyNumberFormat="1" applyFont="1" applyBorder="1"/>
    <xf numFmtId="172" fontId="25" fillId="0" borderId="28" xfId="153" applyNumberFormat="1" applyFont="1" applyBorder="1"/>
    <xf numFmtId="172" fontId="34" fillId="37" borderId="31" xfId="153" applyNumberFormat="1" applyFont="1" applyFill="1" applyBorder="1"/>
    <xf numFmtId="172" fontId="34" fillId="37" borderId="21" xfId="153" applyNumberFormat="1" applyFont="1" applyFill="1" applyBorder="1"/>
    <xf numFmtId="172" fontId="46" fillId="37" borderId="32" xfId="153" applyNumberFormat="1" applyFont="1" applyFill="1" applyBorder="1"/>
    <xf numFmtId="172" fontId="46" fillId="37" borderId="31" xfId="153" applyNumberFormat="1" applyFont="1" applyFill="1" applyBorder="1"/>
    <xf numFmtId="172" fontId="25" fillId="0" borderId="21" xfId="153" applyNumberFormat="1" applyFont="1" applyFill="1" applyBorder="1" applyAlignment="1"/>
    <xf numFmtId="172" fontId="25" fillId="0" borderId="21" xfId="167" applyNumberFormat="1" applyFont="1" applyBorder="1"/>
    <xf numFmtId="172" fontId="34" fillId="31" borderId="21" xfId="85" applyNumberFormat="1" applyFont="1" applyFill="1" applyBorder="1" applyAlignment="1">
      <alignment horizontal="right"/>
    </xf>
    <xf numFmtId="172" fontId="25" fillId="0" borderId="21" xfId="0" applyNumberFormat="1" applyFont="1" applyFill="1" applyBorder="1" applyAlignment="1"/>
    <xf numFmtId="172" fontId="34" fillId="31" borderId="21" xfId="167" applyNumberFormat="1" applyFont="1" applyFill="1" applyBorder="1" applyAlignment="1">
      <alignment wrapText="1"/>
    </xf>
    <xf numFmtId="172" fontId="34" fillId="35" borderId="21" xfId="153" applyNumberFormat="1" applyFont="1" applyFill="1" applyBorder="1"/>
    <xf numFmtId="172" fontId="34" fillId="32" borderId="21" xfId="153" applyNumberFormat="1" applyFont="1" applyFill="1" applyBorder="1"/>
    <xf numFmtId="172" fontId="40" fillId="0" borderId="21" xfId="0" applyNumberFormat="1" applyFont="1" applyBorder="1" applyAlignment="1">
      <alignment horizontal="right"/>
    </xf>
    <xf numFmtId="172" fontId="40" fillId="0" borderId="21" xfId="0" applyNumberFormat="1" applyFont="1" applyBorder="1" applyAlignment="1">
      <alignment horizontal="right" vertical="center"/>
    </xf>
    <xf numFmtId="172" fontId="49" fillId="35" borderId="21" xfId="0" applyNumberFormat="1" applyFont="1" applyFill="1" applyBorder="1" applyAlignment="1">
      <alignment horizontal="right" vertical="center"/>
    </xf>
    <xf numFmtId="172" fontId="49" fillId="28" borderId="21" xfId="0" applyNumberFormat="1" applyFont="1" applyFill="1" applyBorder="1" applyAlignment="1">
      <alignment horizontal="right" vertical="center"/>
    </xf>
    <xf numFmtId="172" fontId="25" fillId="0" borderId="31" xfId="161" applyNumberFormat="1" applyFont="1" applyBorder="1" applyAlignment="1">
      <alignment vertical="center"/>
    </xf>
    <xf numFmtId="172" fontId="25" fillId="0" borderId="21" xfId="161" applyNumberFormat="1" applyFont="1" applyBorder="1" applyAlignment="1">
      <alignment vertical="center"/>
    </xf>
    <xf numFmtId="172" fontId="25" fillId="0" borderId="32" xfId="161" applyNumberFormat="1" applyFont="1" applyBorder="1" applyAlignment="1">
      <alignment vertical="center"/>
    </xf>
    <xf numFmtId="172" fontId="45" fillId="0" borderId="31" xfId="161" applyNumberFormat="1" applyFont="1" applyBorder="1" applyAlignment="1">
      <alignment vertical="center"/>
    </xf>
    <xf numFmtId="172" fontId="25" fillId="0" borderId="28" xfId="104" applyNumberFormat="1" applyFont="1" applyFill="1" applyBorder="1" applyAlignment="1">
      <alignment horizontal="right" vertical="center"/>
    </xf>
    <xf numFmtId="172" fontId="34" fillId="0" borderId="32" xfId="104" applyNumberFormat="1" applyFont="1" applyFill="1" applyBorder="1" applyAlignment="1">
      <alignment horizontal="right" vertical="center"/>
    </xf>
    <xf numFmtId="172" fontId="34" fillId="26" borderId="31" xfId="161" applyNumberFormat="1" applyFont="1" applyFill="1" applyBorder="1" applyAlignment="1">
      <alignment vertical="center"/>
    </xf>
    <xf numFmtId="172" fontId="34" fillId="26" borderId="21" xfId="161" applyNumberFormat="1" applyFont="1" applyFill="1" applyBorder="1" applyAlignment="1">
      <alignment vertical="center"/>
    </xf>
    <xf numFmtId="172" fontId="34" fillId="26" borderId="32" xfId="161" applyNumberFormat="1" applyFont="1" applyFill="1" applyBorder="1" applyAlignment="1">
      <alignment vertical="center"/>
    </xf>
    <xf numFmtId="172" fontId="42" fillId="26" borderId="21" xfId="161" applyNumberFormat="1" applyFont="1" applyFill="1" applyBorder="1" applyAlignment="1">
      <alignment vertical="center"/>
    </xf>
    <xf numFmtId="172" fontId="34" fillId="26" borderId="28" xfId="104" applyNumberFormat="1" applyFont="1" applyFill="1" applyBorder="1" applyAlignment="1">
      <alignment horizontal="right" vertical="center"/>
    </xf>
    <xf numFmtId="172" fontId="34" fillId="26" borderId="32" xfId="104" applyNumberFormat="1" applyFont="1" applyFill="1" applyBorder="1" applyAlignment="1">
      <alignment horizontal="right" vertical="center"/>
    </xf>
    <xf numFmtId="172" fontId="25" fillId="0" borderId="21" xfId="161" applyNumberFormat="1" applyFont="1" applyFill="1" applyBorder="1" applyAlignment="1">
      <alignment vertical="center"/>
    </xf>
    <xf numFmtId="172" fontId="43" fillId="43" borderId="31" xfId="104" applyNumberFormat="1" applyFont="1" applyFill="1" applyBorder="1" applyAlignment="1">
      <alignment vertical="center"/>
    </xf>
    <xf numFmtId="172" fontId="43" fillId="43" borderId="21" xfId="104" applyNumberFormat="1" applyFont="1" applyFill="1" applyBorder="1" applyAlignment="1">
      <alignment vertical="center"/>
    </xf>
    <xf numFmtId="172" fontId="43" fillId="43" borderId="32" xfId="104" applyNumberFormat="1" applyFont="1" applyFill="1" applyBorder="1" applyAlignment="1">
      <alignment vertical="center"/>
    </xf>
    <xf numFmtId="172" fontId="42" fillId="43" borderId="31" xfId="104" applyNumberFormat="1" applyFont="1" applyFill="1" applyBorder="1" applyAlignment="1">
      <alignment vertical="center"/>
    </xf>
    <xf numFmtId="172" fontId="43" fillId="43" borderId="31" xfId="161" applyNumberFormat="1" applyFont="1" applyFill="1" applyBorder="1" applyAlignment="1">
      <alignment vertical="center"/>
    </xf>
    <xf numFmtId="172" fontId="44" fillId="0" borderId="31" xfId="104" applyNumberFormat="1" applyFont="1" applyFill="1" applyBorder="1" applyAlignment="1">
      <alignment vertical="center"/>
    </xf>
    <xf numFmtId="172" fontId="44" fillId="0" borderId="21" xfId="104" applyNumberFormat="1" applyFont="1" applyFill="1" applyBorder="1" applyAlignment="1">
      <alignment vertical="center"/>
    </xf>
    <xf numFmtId="172" fontId="44" fillId="0" borderId="32" xfId="104" applyNumberFormat="1" applyFont="1" applyFill="1" applyBorder="1" applyAlignment="1">
      <alignment vertical="center"/>
    </xf>
    <xf numFmtId="172" fontId="25" fillId="0" borderId="31" xfId="104" applyNumberFormat="1" applyFont="1" applyBorder="1" applyAlignment="1">
      <alignment vertical="center"/>
    </xf>
    <xf numFmtId="172" fontId="45" fillId="0" borderId="31" xfId="104" applyNumberFormat="1" applyFont="1" applyBorder="1" applyAlignment="1">
      <alignment vertical="center"/>
    </xf>
    <xf numFmtId="172" fontId="25" fillId="0" borderId="21" xfId="104" applyNumberFormat="1" applyFont="1" applyBorder="1" applyAlignment="1">
      <alignment vertical="center"/>
    </xf>
    <xf numFmtId="172" fontId="25" fillId="0" borderId="32" xfId="104" applyNumberFormat="1" applyFont="1" applyBorder="1" applyAlignment="1">
      <alignment vertical="center"/>
    </xf>
    <xf numFmtId="172" fontId="25" fillId="0" borderId="28" xfId="161" applyNumberFormat="1" applyFont="1" applyBorder="1" applyAlignment="1">
      <alignment vertical="center"/>
    </xf>
    <xf numFmtId="172" fontId="34" fillId="35" borderId="31" xfId="104" applyNumberFormat="1" applyFont="1" applyFill="1" applyBorder="1" applyAlignment="1">
      <alignment vertical="center"/>
    </xf>
    <xf numFmtId="172" fontId="34" fillId="35" borderId="21" xfId="104" applyNumberFormat="1" applyFont="1" applyFill="1" applyBorder="1" applyAlignment="1">
      <alignment vertical="center"/>
    </xf>
    <xf numFmtId="172" fontId="34" fillId="35" borderId="32" xfId="104" applyNumberFormat="1" applyFont="1" applyFill="1" applyBorder="1" applyAlignment="1">
      <alignment vertical="center"/>
    </xf>
    <xf numFmtId="172" fontId="42" fillId="35" borderId="31" xfId="104" applyNumberFormat="1" applyFont="1" applyFill="1" applyBorder="1" applyAlignment="1">
      <alignment vertical="center"/>
    </xf>
    <xf numFmtId="172" fontId="34" fillId="35" borderId="32" xfId="104" applyNumberFormat="1" applyFont="1" applyFill="1" applyBorder="1" applyAlignment="1">
      <alignment horizontal="right" vertical="center"/>
    </xf>
    <xf numFmtId="172" fontId="46" fillId="35" borderId="32" xfId="104" applyNumberFormat="1" applyFont="1" applyFill="1" applyBorder="1" applyAlignment="1">
      <alignment vertical="center"/>
    </xf>
    <xf numFmtId="172" fontId="46" fillId="35" borderId="31" xfId="104" applyNumberFormat="1" applyFont="1" applyFill="1" applyBorder="1" applyAlignment="1">
      <alignment vertical="center"/>
    </xf>
    <xf numFmtId="172" fontId="25" fillId="34" borderId="21" xfId="118" applyNumberFormat="1" applyFont="1" applyFill="1" applyBorder="1" applyAlignment="1">
      <alignment vertical="center"/>
    </xf>
    <xf numFmtId="172" fontId="25" fillId="35" borderId="21" xfId="153" applyNumberFormat="1" applyFont="1" applyFill="1" applyBorder="1" applyAlignment="1">
      <alignment vertical="center"/>
    </xf>
    <xf numFmtId="172" fontId="25" fillId="34" borderId="21" xfId="118" applyNumberFormat="1" applyFont="1" applyFill="1" applyBorder="1" applyAlignment="1">
      <alignment horizontal="right" vertical="center"/>
    </xf>
    <xf numFmtId="172" fontId="25" fillId="30" borderId="21" xfId="167" applyNumberFormat="1" applyFont="1" applyFill="1" applyBorder="1" applyAlignment="1">
      <alignment horizontal="right" vertical="center" wrapText="1"/>
    </xf>
    <xf numFmtId="172" fontId="25" fillId="35" borderId="21" xfId="153" applyNumberFormat="1" applyFont="1" applyFill="1" applyBorder="1" applyAlignment="1">
      <alignment horizontal="right" vertical="center"/>
    </xf>
    <xf numFmtId="172" fontId="25" fillId="29" borderId="21" xfId="118" applyNumberFormat="1" applyFont="1" applyFill="1" applyBorder="1" applyAlignment="1">
      <alignment horizontal="right" vertical="center"/>
    </xf>
    <xf numFmtId="172" fontId="25" fillId="34" borderId="11" xfId="118" applyNumberFormat="1" applyFont="1" applyFill="1" applyBorder="1" applyAlignment="1">
      <alignment horizontal="right" vertical="center"/>
    </xf>
    <xf numFmtId="172" fontId="25" fillId="35" borderId="21" xfId="167" applyNumberFormat="1" applyFont="1" applyFill="1" applyBorder="1" applyAlignment="1">
      <alignment horizontal="right" vertical="center" wrapText="1"/>
    </xf>
    <xf numFmtId="172" fontId="25" fillId="35" borderId="21" xfId="118" applyNumberFormat="1" applyFont="1" applyFill="1" applyBorder="1" applyAlignment="1">
      <alignment horizontal="right" vertical="center"/>
    </xf>
    <xf numFmtId="172" fontId="25" fillId="30" borderId="29" xfId="167" applyNumberFormat="1" applyFont="1" applyFill="1" applyBorder="1" applyAlignment="1">
      <alignment horizontal="right" vertical="center" wrapText="1"/>
    </xf>
    <xf numFmtId="172" fontId="25" fillId="33" borderId="21" xfId="167" applyNumberFormat="1" applyFont="1" applyFill="1" applyBorder="1" applyAlignment="1">
      <alignment horizontal="right" vertical="center" wrapText="1"/>
    </xf>
    <xf numFmtId="172" fontId="34" fillId="33" borderId="21" xfId="167" applyNumberFormat="1" applyFont="1" applyFill="1" applyBorder="1" applyAlignment="1">
      <alignment horizontal="right" vertical="center" wrapText="1"/>
    </xf>
    <xf numFmtId="172" fontId="25" fillId="30" borderId="22" xfId="167" applyNumberFormat="1" applyFont="1" applyFill="1" applyBorder="1" applyAlignment="1">
      <alignment horizontal="right" vertical="center" wrapText="1"/>
    </xf>
    <xf numFmtId="172" fontId="25" fillId="29" borderId="21" xfId="167" applyNumberFormat="1" applyFont="1" applyFill="1" applyBorder="1" applyAlignment="1">
      <alignment horizontal="right" vertical="center" wrapText="1"/>
    </xf>
    <xf numFmtId="172" fontId="34" fillId="38" borderId="21" xfId="153" applyNumberFormat="1" applyFont="1" applyFill="1" applyBorder="1" applyAlignment="1">
      <alignment horizontal="right" vertical="center"/>
    </xf>
    <xf numFmtId="172" fontId="25" fillId="0" borderId="21" xfId="153" applyNumberFormat="1" applyFont="1" applyBorder="1" applyAlignment="1">
      <alignment horizontal="right" vertical="center"/>
    </xf>
    <xf numFmtId="172" fontId="25" fillId="34" borderId="21" xfId="0" applyNumberFormat="1" applyFont="1" applyFill="1" applyBorder="1" applyAlignment="1">
      <alignment vertical="center"/>
    </xf>
    <xf numFmtId="172" fontId="25" fillId="35" borderId="21" xfId="0" applyNumberFormat="1" applyFont="1" applyFill="1" applyBorder="1" applyAlignment="1">
      <alignment vertical="center"/>
    </xf>
    <xf numFmtId="172" fontId="25" fillId="33" borderId="21" xfId="0" applyNumberFormat="1" applyFont="1" applyFill="1" applyBorder="1" applyAlignment="1">
      <alignment vertical="center"/>
    </xf>
    <xf numFmtId="172" fontId="25" fillId="0" borderId="21" xfId="0" applyNumberFormat="1" applyFont="1" applyBorder="1" applyAlignment="1">
      <alignment vertical="center"/>
    </xf>
    <xf numFmtId="172" fontId="41" fillId="40" borderId="21" xfId="0" applyNumberFormat="1" applyFont="1" applyFill="1" applyBorder="1" applyAlignment="1">
      <alignment vertical="center"/>
    </xf>
    <xf numFmtId="172" fontId="34" fillId="34" borderId="21" xfId="0" applyNumberFormat="1" applyFont="1" applyFill="1" applyBorder="1" applyAlignment="1">
      <alignment vertical="center"/>
    </xf>
    <xf numFmtId="172" fontId="34" fillId="35" borderId="21" xfId="0" applyNumberFormat="1" applyFont="1" applyFill="1" applyBorder="1" applyAlignment="1">
      <alignment vertical="center"/>
    </xf>
    <xf numFmtId="172" fontId="34" fillId="33" borderId="21" xfId="0" applyNumberFormat="1" applyFont="1" applyFill="1" applyBorder="1" applyAlignment="1">
      <alignment vertical="center"/>
    </xf>
    <xf numFmtId="172" fontId="34" fillId="0" borderId="21" xfId="0" applyNumberFormat="1" applyFont="1" applyBorder="1" applyAlignment="1">
      <alignment vertical="center"/>
    </xf>
    <xf numFmtId="172" fontId="25" fillId="0" borderId="0" xfId="0" applyNumberFormat="1" applyFont="1" applyAlignment="1">
      <alignment vertical="center"/>
    </xf>
    <xf numFmtId="172" fontId="34" fillId="27" borderId="30" xfId="153" applyNumberFormat="1" applyFont="1" applyFill="1" applyBorder="1" applyAlignment="1">
      <alignment horizontal="center" vertical="center"/>
    </xf>
    <xf numFmtId="172" fontId="25" fillId="0" borderId="21" xfId="153" applyNumberFormat="1" applyFont="1" applyFill="1" applyBorder="1" applyAlignment="1">
      <alignment vertical="center"/>
    </xf>
    <xf numFmtId="172" fontId="34" fillId="31" borderId="21" xfId="85" applyNumberFormat="1" applyFont="1" applyFill="1" applyBorder="1" applyAlignment="1">
      <alignment horizontal="right" vertical="center"/>
    </xf>
    <xf numFmtId="172" fontId="25" fillId="37" borderId="21" xfId="85" applyNumberFormat="1" applyFont="1" applyFill="1" applyBorder="1" applyAlignment="1">
      <alignment vertical="center"/>
    </xf>
    <xf numFmtId="172" fontId="25" fillId="40" borderId="21" xfId="85" applyNumberFormat="1" applyFont="1" applyFill="1" applyBorder="1" applyAlignment="1">
      <alignment vertical="center"/>
    </xf>
    <xf numFmtId="172" fontId="25" fillId="33" borderId="21" xfId="118" applyNumberFormat="1" applyFont="1" applyFill="1" applyBorder="1" applyAlignment="1">
      <alignment vertical="center"/>
    </xf>
    <xf numFmtId="172" fontId="25" fillId="33" borderId="11" xfId="118" applyNumberFormat="1" applyFont="1" applyFill="1" applyBorder="1" applyAlignment="1">
      <alignment vertical="center"/>
    </xf>
    <xf numFmtId="172" fontId="34" fillId="38" borderId="21" xfId="0" applyNumberFormat="1" applyFont="1" applyFill="1" applyBorder="1" applyAlignment="1">
      <alignment vertical="center"/>
    </xf>
    <xf numFmtId="172" fontId="34" fillId="39" borderId="21" xfId="0" applyNumberFormat="1" applyFont="1" applyFill="1" applyBorder="1" applyAlignment="1">
      <alignment vertical="center"/>
    </xf>
    <xf numFmtId="172" fontId="46" fillId="0" borderId="21" xfId="0" applyNumberFormat="1" applyFont="1" applyBorder="1" applyAlignment="1">
      <alignment vertical="center"/>
    </xf>
    <xf numFmtId="172" fontId="25" fillId="33" borderId="21" xfId="0" applyNumberFormat="1" applyFont="1" applyFill="1" applyBorder="1" applyAlignment="1">
      <alignment vertical="center" wrapText="1"/>
    </xf>
    <xf numFmtId="172" fontId="41" fillId="40" borderId="21" xfId="0" applyNumberFormat="1" applyFont="1" applyFill="1" applyBorder="1" applyAlignment="1">
      <alignment vertical="center" wrapText="1"/>
    </xf>
    <xf numFmtId="172" fontId="25" fillId="0" borderId="21" xfId="0" applyNumberFormat="1" applyFont="1" applyBorder="1" applyAlignment="1">
      <alignment vertical="center" wrapText="1"/>
    </xf>
    <xf numFmtId="172" fontId="46" fillId="0" borderId="21" xfId="0" applyNumberFormat="1" applyFont="1" applyBorder="1" applyAlignment="1">
      <alignment vertical="center" wrapText="1"/>
    </xf>
    <xf numFmtId="172" fontId="25" fillId="0" borderId="0" xfId="0" applyNumberFormat="1" applyFont="1" applyAlignment="1">
      <alignment vertical="center" wrapText="1"/>
    </xf>
    <xf numFmtId="172" fontId="34" fillId="39" borderId="21" xfId="0" applyNumberFormat="1" applyFont="1" applyFill="1" applyBorder="1" applyAlignment="1">
      <alignment vertical="center" wrapText="1"/>
    </xf>
    <xf numFmtId="172" fontId="34" fillId="0" borderId="21" xfId="0" applyNumberFormat="1" applyFont="1" applyBorder="1" applyAlignment="1">
      <alignment vertical="center" wrapText="1"/>
    </xf>
    <xf numFmtId="172" fontId="34" fillId="27" borderId="30" xfId="153" applyNumberFormat="1" applyFont="1" applyFill="1" applyBorder="1" applyAlignment="1">
      <alignment horizontal="center" vertical="center" wrapText="1"/>
    </xf>
    <xf numFmtId="172" fontId="25" fillId="35" borderId="21" xfId="0" applyNumberFormat="1" applyFont="1" applyFill="1" applyBorder="1" applyAlignment="1">
      <alignment vertical="center" wrapText="1"/>
    </xf>
    <xf numFmtId="172" fontId="34" fillId="31" borderId="21" xfId="85" applyNumberFormat="1" applyFont="1" applyFill="1" applyBorder="1" applyAlignment="1">
      <alignment horizontal="right" vertical="center" wrapText="1"/>
    </xf>
    <xf numFmtId="0" fontId="34" fillId="27" borderId="21" xfId="161" applyFont="1" applyFill="1" applyBorder="1" applyAlignment="1">
      <alignment horizontal="center" vertical="center"/>
    </xf>
    <xf numFmtId="0" fontId="34" fillId="27" borderId="22" xfId="161" applyFont="1" applyFill="1" applyBorder="1" applyAlignment="1">
      <alignment horizontal="center" vertical="center"/>
    </xf>
    <xf numFmtId="0" fontId="25" fillId="35" borderId="11" xfId="0" applyFont="1" applyFill="1" applyBorder="1" applyAlignment="1">
      <alignment horizontal="left" vertical="center" wrapText="1"/>
    </xf>
    <xf numFmtId="169" fontId="25" fillId="33" borderId="21" xfId="167" applyNumberFormat="1" applyFont="1" applyFill="1" applyBorder="1" applyAlignment="1">
      <alignment horizontal="left" vertical="center" wrapText="1"/>
    </xf>
    <xf numFmtId="0" fontId="34" fillId="36" borderId="21" xfId="167" applyFont="1" applyFill="1" applyBorder="1" applyAlignment="1">
      <alignment horizontal="center" vertical="center" wrapText="1"/>
    </xf>
    <xf numFmtId="0" fontId="25" fillId="34" borderId="11" xfId="0" applyFont="1" applyFill="1" applyBorder="1" applyAlignment="1">
      <alignment horizontal="left" vertical="center" wrapText="1"/>
    </xf>
    <xf numFmtId="0" fontId="25" fillId="33" borderId="21" xfId="0" applyFont="1" applyFill="1" applyBorder="1" applyAlignment="1">
      <alignment horizontal="left" vertical="center" wrapText="1"/>
    </xf>
    <xf numFmtId="0" fontId="25" fillId="34" borderId="21" xfId="0" applyFont="1" applyFill="1" applyBorder="1" applyAlignment="1">
      <alignment horizontal="left" vertical="center" wrapText="1"/>
    </xf>
    <xf numFmtId="0" fontId="25" fillId="35" borderId="21" xfId="0" applyFont="1" applyFill="1" applyBorder="1" applyAlignment="1">
      <alignment horizontal="left" vertical="center" wrapText="1"/>
    </xf>
    <xf numFmtId="0" fontId="25" fillId="34" borderId="21" xfId="0" applyFont="1" applyFill="1" applyBorder="1" applyAlignment="1">
      <alignment horizontal="left" vertical="center" wrapText="1"/>
    </xf>
    <xf numFmtId="0" fontId="25" fillId="33" borderId="21" xfId="0" applyFont="1" applyFill="1" applyBorder="1" applyAlignment="1">
      <alignment horizontal="left" vertical="center" wrapText="1"/>
    </xf>
    <xf numFmtId="0" fontId="25" fillId="33" borderId="11" xfId="0" applyFont="1" applyFill="1" applyBorder="1" applyAlignment="1">
      <alignment horizontal="left" vertical="center" wrapText="1"/>
    </xf>
    <xf numFmtId="0" fontId="25" fillId="35" borderId="21" xfId="0" applyFont="1" applyFill="1" applyBorder="1" applyAlignment="1">
      <alignment horizontal="left" vertical="center" wrapText="1"/>
    </xf>
    <xf numFmtId="172" fontId="43" fillId="43" borderId="31" xfId="161" applyNumberFormat="1" applyFont="1" applyFill="1" applyBorder="1" applyAlignment="1">
      <alignment horizontal="right" vertical="center"/>
    </xf>
    <xf numFmtId="172" fontId="43" fillId="43" borderId="21" xfId="161" applyNumberFormat="1" applyFont="1" applyFill="1" applyBorder="1" applyAlignment="1">
      <alignment horizontal="right" vertical="center"/>
    </xf>
    <xf numFmtId="172" fontId="43" fillId="43" borderId="32" xfId="161" applyNumberFormat="1" applyFont="1" applyFill="1" applyBorder="1" applyAlignment="1">
      <alignment horizontal="right" vertical="center"/>
    </xf>
    <xf numFmtId="172" fontId="42" fillId="43" borderId="31" xfId="161" applyNumberFormat="1" applyFont="1" applyFill="1" applyBorder="1" applyAlignment="1">
      <alignment vertical="center"/>
    </xf>
    <xf numFmtId="172" fontId="34" fillId="26" borderId="31" xfId="104" applyNumberFormat="1" applyFont="1" applyFill="1" applyBorder="1" applyAlignment="1">
      <alignment horizontal="right" vertical="center"/>
    </xf>
    <xf numFmtId="172" fontId="34" fillId="26" borderId="21" xfId="104" applyNumberFormat="1" applyFont="1" applyFill="1" applyBorder="1" applyAlignment="1">
      <alignment horizontal="right" vertical="center"/>
    </xf>
    <xf numFmtId="172" fontId="34" fillId="26" borderId="21" xfId="104" applyNumberFormat="1" applyFont="1" applyFill="1" applyBorder="1" applyAlignment="1">
      <alignment horizontal="center" vertical="center"/>
    </xf>
    <xf numFmtId="172" fontId="42" fillId="26" borderId="31" xfId="104" applyNumberFormat="1" applyFont="1" applyFill="1" applyBorder="1" applyAlignment="1">
      <alignment horizontal="right" vertical="center"/>
    </xf>
    <xf numFmtId="172" fontId="34" fillId="37" borderId="21" xfId="167" applyNumberFormat="1" applyFont="1" applyFill="1" applyBorder="1" applyAlignment="1">
      <alignment horizontal="right" vertical="center" wrapText="1"/>
    </xf>
    <xf numFmtId="0" fontId="49" fillId="44" borderId="21" xfId="0" applyFont="1" applyFill="1" applyBorder="1" applyAlignment="1">
      <alignment vertical="center" wrapText="1"/>
    </xf>
    <xf numFmtId="0" fontId="40" fillId="0" borderId="11" xfId="0" applyFont="1" applyBorder="1" applyAlignment="1">
      <alignment vertical="center"/>
    </xf>
    <xf numFmtId="0" fontId="40" fillId="0" borderId="11" xfId="0" applyFont="1" applyBorder="1" applyAlignment="1">
      <alignment vertical="center" wrapText="1"/>
    </xf>
    <xf numFmtId="0" fontId="49" fillId="45" borderId="11" xfId="0" applyFont="1" applyFill="1" applyBorder="1" applyAlignment="1">
      <alignment horizontal="left" vertical="center" wrapText="1"/>
    </xf>
    <xf numFmtId="0" fontId="25" fillId="33" borderId="21" xfId="0" applyFont="1" applyFill="1" applyBorder="1" applyAlignment="1">
      <alignment horizontal="left" vertical="center" wrapText="1" shrinkToFit="1"/>
    </xf>
    <xf numFmtId="0" fontId="25" fillId="46" borderId="21" xfId="0" applyFont="1" applyFill="1" applyBorder="1" applyAlignment="1">
      <alignment vertical="center" wrapText="1"/>
    </xf>
    <xf numFmtId="169" fontId="25" fillId="46" borderId="21" xfId="167" applyNumberFormat="1" applyFont="1" applyFill="1" applyBorder="1" applyAlignment="1">
      <alignment horizontal="left" vertical="center" wrapText="1"/>
    </xf>
    <xf numFmtId="169" fontId="25" fillId="46" borderId="29" xfId="167" applyNumberFormat="1" applyFont="1" applyFill="1" applyBorder="1" applyAlignment="1">
      <alignment vertical="center" wrapText="1"/>
    </xf>
    <xf numFmtId="0" fontId="47" fillId="34" borderId="21" xfId="0" applyFont="1" applyFill="1" applyBorder="1" applyAlignment="1">
      <alignment vertical="center" wrapText="1"/>
    </xf>
    <xf numFmtId="172" fontId="25" fillId="35" borderId="21" xfId="118" applyNumberFormat="1" applyFont="1" applyFill="1" applyBorder="1" applyAlignment="1">
      <alignment vertical="center"/>
    </xf>
    <xf numFmtId="172" fontId="25" fillId="30" borderId="21" xfId="167" applyNumberFormat="1" applyFont="1" applyFill="1" applyBorder="1" applyAlignment="1">
      <alignment vertical="center" wrapText="1"/>
    </xf>
    <xf numFmtId="172" fontId="25" fillId="30" borderId="21" xfId="118" applyNumberFormat="1" applyFont="1" applyFill="1" applyBorder="1" applyAlignment="1">
      <alignment vertical="center"/>
    </xf>
    <xf numFmtId="172" fontId="25" fillId="34" borderId="29" xfId="118" applyNumberFormat="1" applyFont="1" applyFill="1" applyBorder="1" applyAlignment="1">
      <alignment horizontal="center" vertical="center"/>
    </xf>
    <xf numFmtId="172" fontId="25" fillId="33" borderId="21" xfId="153" applyNumberFormat="1" applyFont="1" applyFill="1" applyBorder="1" applyAlignment="1">
      <alignment vertical="center"/>
    </xf>
    <xf numFmtId="172" fontId="25" fillId="33" borderId="21" xfId="167" applyNumberFormat="1" applyFont="1" applyFill="1" applyBorder="1" applyAlignment="1">
      <alignment vertical="center" wrapText="1"/>
    </xf>
    <xf numFmtId="172" fontId="34" fillId="27" borderId="30" xfId="153" applyNumberFormat="1" applyFont="1" applyFill="1" applyBorder="1" applyAlignment="1">
      <alignment vertical="center"/>
    </xf>
    <xf numFmtId="172" fontId="25" fillId="34" borderId="11" xfId="118" applyNumberFormat="1" applyFont="1" applyFill="1" applyBorder="1" applyAlignment="1">
      <alignment vertical="center"/>
    </xf>
    <xf numFmtId="172" fontId="25" fillId="37" borderId="21" xfId="167" applyNumberFormat="1" applyFont="1" applyFill="1" applyBorder="1" applyAlignment="1">
      <alignment vertical="center" wrapText="1"/>
    </xf>
    <xf numFmtId="172" fontId="34" fillId="33" borderId="21" xfId="0" applyNumberFormat="1" applyFont="1" applyFill="1" applyBorder="1" applyAlignment="1">
      <alignment vertical="center" wrapText="1"/>
    </xf>
    <xf numFmtId="172" fontId="34" fillId="27" borderId="30" xfId="153" applyNumberFormat="1" applyFont="1" applyFill="1" applyBorder="1" applyAlignment="1">
      <alignment vertical="center" wrapText="1"/>
    </xf>
    <xf numFmtId="172" fontId="25" fillId="35" borderId="21" xfId="0" applyNumberFormat="1" applyFont="1" applyFill="1" applyBorder="1" applyAlignment="1">
      <alignment horizontal="right" vertical="center" wrapText="1"/>
    </xf>
    <xf numFmtId="172" fontId="25" fillId="35" borderId="29" xfId="118" applyNumberFormat="1" applyFont="1" applyFill="1" applyBorder="1" applyAlignment="1">
      <alignment vertical="center"/>
    </xf>
    <xf numFmtId="172" fontId="25" fillId="33" borderId="29" xfId="167" applyNumberFormat="1" applyFont="1" applyFill="1" applyBorder="1" applyAlignment="1">
      <alignment vertical="center" wrapText="1"/>
    </xf>
    <xf numFmtId="172" fontId="25" fillId="34" borderId="21" xfId="167" applyNumberFormat="1" applyFont="1" applyFill="1" applyBorder="1" applyAlignment="1">
      <alignment vertical="center" wrapText="1"/>
    </xf>
    <xf numFmtId="172" fontId="25" fillId="34" borderId="11" xfId="167" applyNumberFormat="1" applyFont="1" applyFill="1" applyBorder="1" applyAlignment="1">
      <alignment vertical="center" wrapText="1"/>
    </xf>
    <xf numFmtId="172" fontId="34" fillId="38" borderId="21" xfId="153" applyNumberFormat="1" applyFont="1" applyFill="1" applyBorder="1" applyAlignment="1">
      <alignment vertical="center"/>
    </xf>
    <xf numFmtId="172" fontId="25" fillId="0" borderId="21" xfId="153" applyNumberFormat="1" applyFont="1" applyBorder="1" applyAlignment="1">
      <alignment vertical="center"/>
    </xf>
    <xf numFmtId="172" fontId="34" fillId="0" borderId="0" xfId="167" applyNumberFormat="1" applyFont="1" applyAlignment="1">
      <alignment vertical="center"/>
    </xf>
    <xf numFmtId="172" fontId="34" fillId="0" borderId="0" xfId="167" applyNumberFormat="1" applyFont="1" applyAlignment="1">
      <alignment vertical="center" wrapText="1"/>
    </xf>
    <xf numFmtId="172" fontId="25" fillId="0" borderId="0" xfId="167" applyNumberFormat="1" applyFont="1" applyAlignment="1">
      <alignment vertical="center"/>
    </xf>
    <xf numFmtId="172" fontId="34" fillId="36" borderId="21" xfId="167" applyNumberFormat="1" applyFont="1" applyFill="1" applyBorder="1" applyAlignment="1">
      <alignment horizontal="center" vertical="center" wrapText="1"/>
    </xf>
    <xf numFmtId="172" fontId="25" fillId="34" borderId="11" xfId="0" applyNumberFormat="1" applyFont="1" applyFill="1" applyBorder="1" applyAlignment="1">
      <alignment horizontal="left" vertical="center" wrapText="1"/>
    </xf>
    <xf numFmtId="172" fontId="25" fillId="34" borderId="21" xfId="0" applyNumberFormat="1" applyFont="1" applyFill="1" applyBorder="1" applyAlignment="1">
      <alignment horizontal="left" vertical="center" wrapText="1"/>
    </xf>
    <xf numFmtId="172" fontId="25" fillId="37" borderId="21" xfId="167" applyNumberFormat="1" applyFont="1" applyFill="1" applyBorder="1" applyAlignment="1">
      <alignment horizontal="left" vertical="center" wrapText="1"/>
    </xf>
    <xf numFmtId="172" fontId="25" fillId="33" borderId="11" xfId="153" applyNumberFormat="1" applyFont="1" applyFill="1" applyBorder="1" applyAlignment="1">
      <alignment horizontal="center" vertical="center"/>
    </xf>
    <xf numFmtId="172" fontId="25" fillId="35" borderId="21" xfId="167" applyNumberFormat="1" applyFont="1" applyFill="1" applyBorder="1" applyAlignment="1">
      <alignment vertical="center" wrapText="1"/>
    </xf>
    <xf numFmtId="172" fontId="25" fillId="34" borderId="21" xfId="153" applyNumberFormat="1" applyFont="1" applyFill="1" applyBorder="1" applyAlignment="1">
      <alignment vertical="center"/>
    </xf>
    <xf numFmtId="172" fontId="25" fillId="35" borderId="29" xfId="167" applyNumberFormat="1" applyFont="1" applyFill="1" applyBorder="1" applyAlignment="1">
      <alignment horizontal="center" vertical="center" wrapText="1"/>
    </xf>
    <xf numFmtId="172" fontId="25" fillId="34" borderId="11" xfId="118" applyNumberFormat="1" applyFont="1" applyFill="1" applyBorder="1" applyAlignment="1">
      <alignment vertical="center" wrapText="1"/>
    </xf>
    <xf numFmtId="172" fontId="25" fillId="34" borderId="21" xfId="118" applyNumberFormat="1" applyFont="1" applyFill="1" applyBorder="1" applyAlignment="1">
      <alignment vertical="center" wrapText="1"/>
    </xf>
    <xf numFmtId="172" fontId="25" fillId="34" borderId="29" xfId="118" applyNumberFormat="1" applyFont="1" applyFill="1" applyBorder="1" applyAlignment="1">
      <alignment vertical="center" wrapText="1"/>
    </xf>
    <xf numFmtId="172" fontId="25" fillId="29" borderId="21" xfId="118" applyNumberFormat="1" applyFont="1" applyFill="1" applyBorder="1" applyAlignment="1">
      <alignment vertical="center" wrapText="1"/>
    </xf>
    <xf numFmtId="172" fontId="25" fillId="33" borderId="21" xfId="153" applyNumberFormat="1" applyFont="1" applyFill="1" applyBorder="1" applyAlignment="1">
      <alignment vertical="center" wrapText="1"/>
    </xf>
    <xf numFmtId="172" fontId="25" fillId="33" borderId="21" xfId="118" applyNumberFormat="1" applyFont="1" applyFill="1" applyBorder="1" applyAlignment="1">
      <alignment vertical="center" wrapText="1"/>
    </xf>
    <xf numFmtId="172" fontId="34" fillId="38" borderId="21" xfId="0" applyNumberFormat="1" applyFont="1" applyFill="1" applyBorder="1" applyAlignment="1">
      <alignment vertical="center" wrapText="1"/>
    </xf>
    <xf numFmtId="172" fontId="25" fillId="34" borderId="21" xfId="0" applyNumberFormat="1" applyFont="1" applyFill="1" applyBorder="1" applyAlignment="1">
      <alignment vertical="center" wrapText="1"/>
    </xf>
    <xf numFmtId="172" fontId="34" fillId="34" borderId="21" xfId="0" applyNumberFormat="1" applyFont="1" applyFill="1" applyBorder="1" applyAlignment="1">
      <alignment vertical="center" wrapText="1"/>
    </xf>
    <xf numFmtId="172" fontId="34" fillId="35" borderId="21" xfId="0" applyNumberFormat="1" applyFont="1" applyFill="1" applyBorder="1" applyAlignment="1">
      <alignment vertical="center" wrapText="1"/>
    </xf>
    <xf numFmtId="172" fontId="25" fillId="0" borderId="21" xfId="153" applyNumberFormat="1" applyFont="1" applyFill="1" applyBorder="1" applyAlignment="1">
      <alignment vertical="center" wrapText="1"/>
    </xf>
    <xf numFmtId="0" fontId="34" fillId="27" borderId="21" xfId="161" applyFont="1" applyFill="1" applyBorder="1" applyAlignment="1">
      <alignment horizontal="center" vertical="center"/>
    </xf>
    <xf numFmtId="0" fontId="34" fillId="27" borderId="22" xfId="161" applyFont="1" applyFill="1" applyBorder="1" applyAlignment="1">
      <alignment horizontal="center" vertical="center"/>
    </xf>
    <xf numFmtId="172" fontId="41" fillId="35" borderId="21" xfId="0" applyNumberFormat="1" applyFont="1" applyFill="1" applyBorder="1" applyAlignment="1">
      <alignment vertical="center"/>
    </xf>
    <xf numFmtId="172" fontId="41" fillId="0" borderId="21" xfId="0" applyNumberFormat="1" applyFont="1" applyBorder="1" applyAlignment="1">
      <alignment vertical="center"/>
    </xf>
    <xf numFmtId="172" fontId="25" fillId="29" borderId="21" xfId="118" applyNumberFormat="1" applyFont="1" applyFill="1" applyBorder="1" applyAlignment="1">
      <alignment horizontal="right" vertical="center" wrapText="1"/>
    </xf>
    <xf numFmtId="172" fontId="25" fillId="33" borderId="21" xfId="118" applyNumberFormat="1" applyFont="1" applyFill="1" applyBorder="1" applyAlignment="1">
      <alignment horizontal="right" vertical="center" wrapText="1"/>
    </xf>
    <xf numFmtId="172" fontId="25" fillId="33" borderId="21" xfId="0" applyNumberFormat="1" applyFont="1" applyFill="1" applyBorder="1" applyAlignment="1">
      <alignment horizontal="right" vertical="center" wrapText="1"/>
    </xf>
    <xf numFmtId="172" fontId="25" fillId="33" borderId="21" xfId="118" applyNumberFormat="1" applyFont="1" applyFill="1" applyBorder="1" applyAlignment="1">
      <alignment horizontal="right" vertical="center"/>
    </xf>
    <xf numFmtId="172" fontId="34" fillId="38" borderId="21" xfId="0" applyNumberFormat="1" applyFont="1" applyFill="1" applyBorder="1" applyAlignment="1">
      <alignment horizontal="right" vertical="center"/>
    </xf>
    <xf numFmtId="172" fontId="25" fillId="0" borderId="21" xfId="0" applyNumberFormat="1" applyFont="1" applyBorder="1" applyAlignment="1">
      <alignment horizontal="right" vertical="center"/>
    </xf>
    <xf numFmtId="172" fontId="41" fillId="33" borderId="21" xfId="0" applyNumberFormat="1" applyFont="1" applyFill="1" applyBorder="1" applyAlignment="1">
      <alignment vertical="center"/>
    </xf>
    <xf numFmtId="172" fontId="34" fillId="27" borderId="30" xfId="0" applyNumberFormat="1" applyFont="1" applyFill="1" applyBorder="1" applyAlignment="1">
      <alignment horizontal="center" vertical="center"/>
    </xf>
    <xf numFmtId="172" fontId="25" fillId="0" borderId="0" xfId="0" applyNumberFormat="1" applyFont="1"/>
    <xf numFmtId="172" fontId="25" fillId="40" borderId="21" xfId="0" applyNumberFormat="1" applyFont="1" applyFill="1" applyBorder="1" applyAlignment="1">
      <alignment vertical="center"/>
    </xf>
    <xf numFmtId="172" fontId="34" fillId="27" borderId="30" xfId="0" applyNumberFormat="1" applyFont="1" applyFill="1" applyBorder="1" applyAlignment="1">
      <alignment vertical="center"/>
    </xf>
    <xf numFmtId="172" fontId="41" fillId="34" borderId="21" xfId="0" applyNumberFormat="1" applyFont="1" applyFill="1" applyBorder="1" applyAlignment="1">
      <alignment vertical="center"/>
    </xf>
    <xf numFmtId="172" fontId="34" fillId="42" borderId="21" xfId="0" applyNumberFormat="1" applyFont="1" applyFill="1" applyBorder="1" applyAlignment="1">
      <alignment vertical="center" wrapText="1"/>
    </xf>
    <xf numFmtId="172" fontId="25" fillId="29" borderId="21" xfId="118" applyNumberFormat="1" applyFont="1" applyFill="1" applyBorder="1" applyAlignment="1">
      <alignment vertical="center"/>
    </xf>
    <xf numFmtId="172" fontId="25" fillId="35" borderId="21" xfId="153" applyNumberFormat="1" applyFont="1" applyFill="1" applyBorder="1" applyAlignment="1">
      <alignment horizontal="left" vertical="center" wrapText="1"/>
    </xf>
    <xf numFmtId="0" fontId="24" fillId="25" borderId="22" xfId="167" applyFont="1" applyFill="1" applyBorder="1" applyAlignment="1">
      <alignment horizontal="left" wrapText="1"/>
    </xf>
    <xf numFmtId="0" fontId="24" fillId="25" borderId="35" xfId="167" applyFont="1" applyFill="1" applyBorder="1" applyAlignment="1">
      <alignment horizontal="left" wrapText="1"/>
    </xf>
    <xf numFmtId="0" fontId="24" fillId="25" borderId="28" xfId="167" applyFont="1" applyFill="1" applyBorder="1" applyAlignment="1">
      <alignment horizontal="left" wrapText="1"/>
    </xf>
    <xf numFmtId="0" fontId="24" fillId="0" borderId="36" xfId="167" applyFont="1" applyBorder="1" applyAlignment="1">
      <alignment horizontal="left" wrapText="1"/>
    </xf>
    <xf numFmtId="0" fontId="24" fillId="25" borderId="37" xfId="167" applyFont="1" applyFill="1" applyBorder="1" applyAlignment="1">
      <alignment horizontal="left" wrapText="1"/>
    </xf>
    <xf numFmtId="0" fontId="24" fillId="25" borderId="36" xfId="167" applyFont="1" applyFill="1" applyBorder="1" applyAlignment="1">
      <alignment horizontal="left" wrapText="1"/>
    </xf>
    <xf numFmtId="0" fontId="24" fillId="25" borderId="38" xfId="167" applyFont="1" applyFill="1" applyBorder="1" applyAlignment="1">
      <alignment horizontal="left" wrapText="1"/>
    </xf>
    <xf numFmtId="0" fontId="24" fillId="0" borderId="27" xfId="167" applyFont="1" applyBorder="1" applyAlignment="1">
      <alignment horizontal="center" wrapText="1"/>
    </xf>
    <xf numFmtId="0" fontId="24" fillId="27" borderId="20" xfId="161" applyFont="1" applyFill="1" applyBorder="1" applyAlignment="1">
      <alignment horizontal="center" vertical="center"/>
    </xf>
    <xf numFmtId="0" fontId="24" fillId="27" borderId="11" xfId="161" applyFont="1" applyFill="1" applyBorder="1" applyAlignment="1">
      <alignment horizontal="center" vertical="center"/>
    </xf>
    <xf numFmtId="0" fontId="24" fillId="27" borderId="37" xfId="161" applyFont="1" applyFill="1" applyBorder="1" applyAlignment="1">
      <alignment horizontal="center"/>
    </xf>
    <xf numFmtId="0" fontId="24" fillId="27" borderId="36" xfId="161" applyFont="1" applyFill="1" applyBorder="1" applyAlignment="1">
      <alignment horizontal="center"/>
    </xf>
    <xf numFmtId="0" fontId="24" fillId="27" borderId="38" xfId="161" applyFont="1" applyFill="1" applyBorder="1" applyAlignment="1">
      <alignment horizontal="center"/>
    </xf>
    <xf numFmtId="0" fontId="34" fillId="25" borderId="22" xfId="167" applyFont="1" applyFill="1" applyBorder="1" applyAlignment="1">
      <alignment horizontal="left" wrapText="1"/>
    </xf>
    <xf numFmtId="0" fontId="34" fillId="25" borderId="35" xfId="167" applyFont="1" applyFill="1" applyBorder="1" applyAlignment="1">
      <alignment horizontal="left" wrapText="1"/>
    </xf>
    <xf numFmtId="0" fontId="34" fillId="25" borderId="28" xfId="167" applyFont="1" applyFill="1" applyBorder="1" applyAlignment="1">
      <alignment horizontal="left" wrapText="1"/>
    </xf>
    <xf numFmtId="0" fontId="34" fillId="0" borderId="36" xfId="167" applyFont="1" applyBorder="1" applyAlignment="1">
      <alignment horizontal="center" vertical="center" wrapText="1"/>
    </xf>
    <xf numFmtId="0" fontId="34" fillId="27" borderId="42" xfId="161" applyFont="1" applyFill="1" applyBorder="1" applyAlignment="1">
      <alignment horizontal="center" vertical="center"/>
    </xf>
    <xf numFmtId="0" fontId="34" fillId="27" borderId="43" xfId="161" applyFont="1" applyFill="1" applyBorder="1" applyAlignment="1">
      <alignment horizontal="center" vertical="center"/>
    </xf>
    <xf numFmtId="0" fontId="34" fillId="27" borderId="33" xfId="161" applyFont="1" applyFill="1" applyBorder="1" applyAlignment="1">
      <alignment horizontal="center" vertical="center"/>
    </xf>
    <xf numFmtId="0" fontId="34" fillId="27" borderId="35" xfId="161" applyFont="1" applyFill="1" applyBorder="1" applyAlignment="1">
      <alignment horizontal="center" vertical="center"/>
    </xf>
    <xf numFmtId="0" fontId="34" fillId="27" borderId="34" xfId="161" applyFont="1" applyFill="1" applyBorder="1" applyAlignment="1">
      <alignment horizontal="center" vertical="center"/>
    </xf>
    <xf numFmtId="0" fontId="34" fillId="27" borderId="33" xfId="161" applyFont="1" applyFill="1" applyBorder="1" applyAlignment="1">
      <alignment horizontal="center" vertical="center" wrapText="1"/>
    </xf>
    <xf numFmtId="0" fontId="34" fillId="27" borderId="35" xfId="161" applyFont="1" applyFill="1" applyBorder="1" applyAlignment="1">
      <alignment horizontal="center" vertical="center" wrapText="1"/>
    </xf>
    <xf numFmtId="0" fontId="34" fillId="27" borderId="34" xfId="161" applyFont="1" applyFill="1" applyBorder="1" applyAlignment="1">
      <alignment horizontal="center" vertical="center" wrapText="1"/>
    </xf>
    <xf numFmtId="0" fontId="34" fillId="27" borderId="28" xfId="161" applyFont="1" applyFill="1" applyBorder="1" applyAlignment="1">
      <alignment horizontal="center"/>
    </xf>
    <xf numFmtId="0" fontId="34" fillId="0" borderId="36" xfId="161" applyFont="1" applyBorder="1" applyAlignment="1">
      <alignment horizontal="center" vertical="center"/>
    </xf>
    <xf numFmtId="0" fontId="34" fillId="0" borderId="0" xfId="161" applyFont="1" applyBorder="1" applyAlignment="1">
      <alignment horizontal="center" vertical="center"/>
    </xf>
    <xf numFmtId="0" fontId="34" fillId="27" borderId="9" xfId="161" applyFont="1" applyFill="1" applyBorder="1" applyAlignment="1">
      <alignment horizontal="center" vertical="center"/>
    </xf>
    <xf numFmtId="0" fontId="34" fillId="27" borderId="37" xfId="161" applyFont="1" applyFill="1" applyBorder="1" applyAlignment="1">
      <alignment horizontal="center" vertical="center"/>
    </xf>
    <xf numFmtId="0" fontId="34" fillId="27" borderId="31" xfId="161" applyFont="1" applyFill="1" applyBorder="1" applyAlignment="1">
      <alignment horizontal="center" vertical="center"/>
    </xf>
    <xf numFmtId="0" fontId="34" fillId="27" borderId="21" xfId="161" applyFont="1" applyFill="1" applyBorder="1" applyAlignment="1">
      <alignment horizontal="center" vertical="center"/>
    </xf>
    <xf numFmtId="0" fontId="34" fillId="27" borderId="32" xfId="161" applyFont="1" applyFill="1" applyBorder="1" applyAlignment="1">
      <alignment horizontal="center" vertical="center"/>
    </xf>
    <xf numFmtId="0" fontId="42" fillId="35" borderId="31" xfId="161" applyFont="1" applyFill="1" applyBorder="1" applyAlignment="1">
      <alignment horizontal="center" vertical="center"/>
    </xf>
    <xf numFmtId="0" fontId="42" fillId="35" borderId="21" xfId="161" applyFont="1" applyFill="1" applyBorder="1" applyAlignment="1">
      <alignment horizontal="center" vertical="center"/>
    </xf>
    <xf numFmtId="0" fontId="42" fillId="35" borderId="32" xfId="161" applyFont="1" applyFill="1" applyBorder="1" applyAlignment="1">
      <alignment horizontal="center" vertical="center"/>
    </xf>
    <xf numFmtId="0" fontId="34" fillId="27" borderId="28" xfId="161" applyFont="1" applyFill="1" applyBorder="1" applyAlignment="1">
      <alignment horizontal="center" vertical="center"/>
    </xf>
    <xf numFmtId="0" fontId="34" fillId="27" borderId="22" xfId="161" applyFont="1" applyFill="1" applyBorder="1" applyAlignment="1">
      <alignment horizontal="center" vertical="center"/>
    </xf>
    <xf numFmtId="0" fontId="25" fillId="34" borderId="29" xfId="167" applyFont="1" applyFill="1" applyBorder="1" applyAlignment="1">
      <alignment horizontal="left" vertical="center" wrapText="1"/>
    </xf>
    <xf numFmtId="0" fontId="25" fillId="34" borderId="20" xfId="167" applyFont="1" applyFill="1" applyBorder="1" applyAlignment="1">
      <alignment horizontal="left" vertical="center" wrapText="1"/>
    </xf>
    <xf numFmtId="0" fontId="25" fillId="34" borderId="29" xfId="0" applyFont="1" applyFill="1" applyBorder="1" applyAlignment="1">
      <alignment horizontal="left" vertical="center"/>
    </xf>
    <xf numFmtId="0" fontId="25" fillId="34" borderId="20" xfId="0" applyFont="1" applyFill="1" applyBorder="1" applyAlignment="1">
      <alignment horizontal="left" vertical="center"/>
    </xf>
    <xf numFmtId="0" fontId="25" fillId="34" borderId="11" xfId="0" applyFont="1" applyFill="1" applyBorder="1" applyAlignment="1">
      <alignment horizontal="left" vertical="center"/>
    </xf>
    <xf numFmtId="172" fontId="25" fillId="35" borderId="29" xfId="153" applyNumberFormat="1" applyFont="1" applyFill="1" applyBorder="1" applyAlignment="1">
      <alignment horizontal="right" vertical="center"/>
    </xf>
    <xf numFmtId="172" fontId="25" fillId="35" borderId="11" xfId="153" applyNumberFormat="1" applyFont="1" applyFill="1" applyBorder="1" applyAlignment="1">
      <alignment horizontal="right" vertical="center"/>
    </xf>
    <xf numFmtId="0" fontId="25" fillId="35" borderId="29" xfId="0" applyFont="1" applyFill="1" applyBorder="1" applyAlignment="1">
      <alignment horizontal="left" vertical="center" wrapText="1"/>
    </xf>
    <xf numFmtId="0" fontId="25" fillId="35" borderId="11" xfId="0" applyFont="1" applyFill="1" applyBorder="1" applyAlignment="1">
      <alignment horizontal="left" vertical="center" wrapText="1"/>
    </xf>
    <xf numFmtId="169" fontId="25" fillId="35" borderId="29" xfId="167" applyNumberFormat="1" applyFont="1" applyFill="1" applyBorder="1" applyAlignment="1">
      <alignment horizontal="left" vertical="center" wrapText="1"/>
    </xf>
    <xf numFmtId="169" fontId="25" fillId="35" borderId="20" xfId="167" applyNumberFormat="1" applyFont="1" applyFill="1" applyBorder="1" applyAlignment="1">
      <alignment horizontal="left" vertical="center" wrapText="1"/>
    </xf>
    <xf numFmtId="169" fontId="25" fillId="35" borderId="11" xfId="167" applyNumberFormat="1" applyFont="1" applyFill="1" applyBorder="1" applyAlignment="1">
      <alignment horizontal="left" vertical="center" wrapText="1"/>
    </xf>
    <xf numFmtId="169" fontId="34" fillId="35" borderId="21" xfId="167" applyNumberFormat="1" applyFont="1" applyFill="1" applyBorder="1" applyAlignment="1">
      <alignment horizontal="center" vertical="center" wrapText="1"/>
    </xf>
    <xf numFmtId="0" fontId="25" fillId="35" borderId="20" xfId="0" applyFont="1" applyFill="1" applyBorder="1" applyAlignment="1">
      <alignment horizontal="left" vertical="center" wrapText="1"/>
    </xf>
    <xf numFmtId="172" fontId="25" fillId="35" borderId="20" xfId="153" applyNumberFormat="1" applyFont="1" applyFill="1" applyBorder="1" applyAlignment="1">
      <alignment horizontal="right" vertical="center"/>
    </xf>
    <xf numFmtId="0" fontId="25" fillId="34" borderId="29" xfId="0" applyFont="1" applyFill="1" applyBorder="1" applyAlignment="1">
      <alignment horizontal="left" vertical="center" wrapText="1"/>
    </xf>
    <xf numFmtId="0" fontId="25" fillId="34" borderId="20" xfId="0" applyFont="1" applyFill="1" applyBorder="1" applyAlignment="1">
      <alignment horizontal="left" vertical="center" wrapText="1"/>
    </xf>
    <xf numFmtId="0" fontId="25" fillId="34" borderId="11" xfId="0" applyFont="1" applyFill="1" applyBorder="1" applyAlignment="1">
      <alignment horizontal="left" vertical="center" wrapText="1"/>
    </xf>
    <xf numFmtId="172" fontId="25" fillId="34" borderId="29" xfId="118" applyNumberFormat="1" applyFont="1" applyFill="1" applyBorder="1" applyAlignment="1">
      <alignment horizontal="right" vertical="center"/>
    </xf>
    <xf numFmtId="172" fontId="25" fillId="34" borderId="20" xfId="118" applyNumberFormat="1" applyFont="1" applyFill="1" applyBorder="1" applyAlignment="1">
      <alignment horizontal="right" vertical="center"/>
    </xf>
    <xf numFmtId="172" fontId="25" fillId="34" borderId="11" xfId="118" applyNumberFormat="1" applyFont="1" applyFill="1" applyBorder="1" applyAlignment="1">
      <alignment horizontal="right" vertical="center"/>
    </xf>
    <xf numFmtId="0" fontId="25" fillId="34" borderId="29" xfId="0" applyFont="1" applyFill="1" applyBorder="1" applyAlignment="1">
      <alignment horizontal="left" vertical="top" wrapText="1"/>
    </xf>
    <xf numFmtId="0" fontId="25" fillId="34" borderId="11" xfId="0" applyFont="1" applyFill="1" applyBorder="1" applyAlignment="1">
      <alignment horizontal="left" vertical="top" wrapText="1"/>
    </xf>
    <xf numFmtId="0" fontId="25" fillId="35" borderId="29" xfId="167" applyFont="1" applyFill="1" applyBorder="1" applyAlignment="1">
      <alignment horizontal="left" vertical="center" wrapText="1"/>
    </xf>
    <xf numFmtId="0" fontId="25" fillId="35" borderId="20" xfId="167" applyFont="1" applyFill="1" applyBorder="1" applyAlignment="1">
      <alignment horizontal="left" vertical="center" wrapText="1"/>
    </xf>
    <xf numFmtId="0" fontId="25" fillId="35" borderId="11" xfId="167" applyFont="1" applyFill="1" applyBorder="1" applyAlignment="1">
      <alignment horizontal="left" vertical="center" wrapText="1"/>
    </xf>
    <xf numFmtId="0" fontId="34" fillId="35" borderId="29" xfId="167" applyFont="1" applyFill="1" applyBorder="1" applyAlignment="1">
      <alignment horizontal="center" vertical="center" wrapText="1"/>
    </xf>
    <xf numFmtId="0" fontId="34" fillId="35" borderId="20" xfId="167" applyFont="1" applyFill="1" applyBorder="1" applyAlignment="1">
      <alignment horizontal="center" vertical="center" wrapText="1"/>
    </xf>
    <xf numFmtId="0" fontId="34" fillId="35" borderId="11" xfId="167" applyFont="1" applyFill="1" applyBorder="1" applyAlignment="1">
      <alignment horizontal="center" vertical="center" wrapText="1"/>
    </xf>
    <xf numFmtId="0" fontId="34" fillId="25" borderId="22" xfId="167" applyFont="1" applyFill="1" applyBorder="1" applyAlignment="1">
      <alignment horizontal="left" vertical="center" wrapText="1"/>
    </xf>
    <xf numFmtId="0" fontId="34" fillId="25" borderId="35" xfId="167" applyFont="1" applyFill="1" applyBorder="1" applyAlignment="1">
      <alignment horizontal="left" vertical="center" wrapText="1"/>
    </xf>
    <xf numFmtId="0" fontId="34" fillId="25" borderId="28" xfId="167" applyFont="1" applyFill="1" applyBorder="1" applyAlignment="1">
      <alignment horizontal="left" vertical="center" wrapText="1"/>
    </xf>
    <xf numFmtId="0" fontId="34" fillId="25" borderId="21" xfId="167" applyFont="1" applyFill="1" applyBorder="1" applyAlignment="1">
      <alignment horizontal="left" vertical="center" wrapText="1"/>
    </xf>
    <xf numFmtId="169" fontId="34" fillId="33" borderId="29" xfId="167" applyNumberFormat="1" applyFont="1" applyFill="1" applyBorder="1" applyAlignment="1">
      <alignment horizontal="center" vertical="center" wrapText="1"/>
    </xf>
    <xf numFmtId="169" fontId="34" fillId="33" borderId="20" xfId="167" applyNumberFormat="1" applyFont="1" applyFill="1" applyBorder="1" applyAlignment="1">
      <alignment horizontal="center" vertical="center" wrapText="1"/>
    </xf>
    <xf numFmtId="169" fontId="34" fillId="33" borderId="11" xfId="167" applyNumberFormat="1" applyFont="1" applyFill="1" applyBorder="1" applyAlignment="1">
      <alignment horizontal="center" vertical="center" wrapText="1"/>
    </xf>
    <xf numFmtId="169" fontId="25" fillId="33" borderId="21" xfId="167" applyNumberFormat="1" applyFont="1" applyFill="1" applyBorder="1" applyAlignment="1">
      <alignment horizontal="left" vertical="center" wrapText="1"/>
    </xf>
    <xf numFmtId="172" fontId="25" fillId="33" borderId="29" xfId="167" applyNumberFormat="1" applyFont="1" applyFill="1" applyBorder="1" applyAlignment="1">
      <alignment horizontal="right" vertical="center" wrapText="1"/>
    </xf>
    <xf numFmtId="172" fontId="25" fillId="33" borderId="11" xfId="167" applyNumberFormat="1" applyFont="1" applyFill="1" applyBorder="1" applyAlignment="1">
      <alignment horizontal="right" vertical="center" wrapText="1"/>
    </xf>
    <xf numFmtId="0" fontId="25" fillId="33" borderId="29" xfId="0" applyFont="1" applyFill="1" applyBorder="1" applyAlignment="1">
      <alignment horizontal="left" vertical="center"/>
    </xf>
    <xf numFmtId="0" fontId="25" fillId="33" borderId="11" xfId="0" applyFont="1" applyFill="1" applyBorder="1" applyAlignment="1">
      <alignment horizontal="left" vertical="center"/>
    </xf>
    <xf numFmtId="169" fontId="25" fillId="33" borderId="29" xfId="167" applyNumberFormat="1" applyFont="1" applyFill="1" applyBorder="1" applyAlignment="1">
      <alignment horizontal="left" vertical="center" wrapText="1"/>
    </xf>
    <xf numFmtId="169" fontId="25" fillId="33" borderId="11" xfId="167" applyNumberFormat="1" applyFont="1" applyFill="1" applyBorder="1" applyAlignment="1">
      <alignment horizontal="left" vertical="center" wrapText="1"/>
    </xf>
    <xf numFmtId="169" fontId="34" fillId="35" borderId="29" xfId="167" applyNumberFormat="1" applyFont="1" applyFill="1" applyBorder="1" applyAlignment="1">
      <alignment horizontal="center" vertical="center" wrapText="1"/>
    </xf>
    <xf numFmtId="169" fontId="34" fillId="35" borderId="20" xfId="167" applyNumberFormat="1" applyFont="1" applyFill="1" applyBorder="1" applyAlignment="1">
      <alignment horizontal="center" vertical="center" wrapText="1"/>
    </xf>
    <xf numFmtId="169" fontId="34" fillId="35" borderId="11" xfId="167" applyNumberFormat="1" applyFont="1" applyFill="1" applyBorder="1" applyAlignment="1">
      <alignment horizontal="center" vertical="center" wrapText="1"/>
    </xf>
    <xf numFmtId="169" fontId="25" fillId="33" borderId="20" xfId="167" applyNumberFormat="1" applyFont="1" applyFill="1" applyBorder="1" applyAlignment="1">
      <alignment horizontal="left" vertical="center" wrapText="1"/>
    </xf>
    <xf numFmtId="0" fontId="34" fillId="36" borderId="29" xfId="167" applyFont="1" applyFill="1" applyBorder="1" applyAlignment="1">
      <alignment horizontal="left" vertical="center" wrapText="1"/>
    </xf>
    <xf numFmtId="0" fontId="34" fillId="36" borderId="11" xfId="167" applyFont="1" applyFill="1" applyBorder="1" applyAlignment="1">
      <alignment horizontal="left" vertical="center" wrapText="1"/>
    </xf>
    <xf numFmtId="0" fontId="34" fillId="36" borderId="29" xfId="167" applyFont="1" applyFill="1" applyBorder="1" applyAlignment="1">
      <alignment horizontal="center" vertical="center" wrapText="1"/>
    </xf>
    <xf numFmtId="0" fontId="34" fillId="36" borderId="11" xfId="167" applyFont="1" applyFill="1" applyBorder="1" applyAlignment="1">
      <alignment horizontal="center" vertical="center" wrapText="1"/>
    </xf>
    <xf numFmtId="0" fontId="34" fillId="36" borderId="21" xfId="167" applyFont="1" applyFill="1" applyBorder="1" applyAlignment="1">
      <alignment horizontal="center" vertical="center" wrapText="1"/>
    </xf>
    <xf numFmtId="0" fontId="34" fillId="34" borderId="29" xfId="167" applyFont="1" applyFill="1" applyBorder="1" applyAlignment="1">
      <alignment horizontal="center" vertical="center" wrapText="1"/>
    </xf>
    <xf numFmtId="0" fontId="34" fillId="34" borderId="20" xfId="167" applyFont="1" applyFill="1" applyBorder="1" applyAlignment="1">
      <alignment horizontal="center" vertical="center" wrapText="1"/>
    </xf>
    <xf numFmtId="0" fontId="34" fillId="34" borderId="11" xfId="167" applyFont="1" applyFill="1" applyBorder="1" applyAlignment="1">
      <alignment horizontal="center" vertical="center" wrapText="1"/>
    </xf>
    <xf numFmtId="0" fontId="34" fillId="33" borderId="29" xfId="167" applyFont="1" applyFill="1" applyBorder="1" applyAlignment="1">
      <alignment horizontal="center" vertical="center" wrapText="1"/>
    </xf>
    <xf numFmtId="0" fontId="34" fillId="33" borderId="20" xfId="167" applyFont="1" applyFill="1" applyBorder="1" applyAlignment="1">
      <alignment horizontal="center" vertical="center" wrapText="1"/>
    </xf>
    <xf numFmtId="0" fontId="34" fillId="33" borderId="11" xfId="167" applyFont="1" applyFill="1" applyBorder="1" applyAlignment="1">
      <alignment horizontal="center" vertical="center" wrapText="1"/>
    </xf>
    <xf numFmtId="0" fontId="25" fillId="33" borderId="29" xfId="167" applyFont="1" applyFill="1" applyBorder="1" applyAlignment="1">
      <alignment horizontal="left" vertical="center" wrapText="1"/>
    </xf>
    <xf numFmtId="0" fontId="25" fillId="33" borderId="20" xfId="167" applyFont="1" applyFill="1" applyBorder="1" applyAlignment="1">
      <alignment horizontal="left" vertical="center" wrapText="1"/>
    </xf>
    <xf numFmtId="0" fontId="25" fillId="33" borderId="11" xfId="167" applyFont="1" applyFill="1" applyBorder="1" applyAlignment="1">
      <alignment horizontal="left" vertical="center" wrapText="1"/>
    </xf>
    <xf numFmtId="0" fontId="25" fillId="34" borderId="11" xfId="167" applyFont="1" applyFill="1" applyBorder="1" applyAlignment="1">
      <alignment horizontal="left" vertical="center" wrapText="1"/>
    </xf>
    <xf numFmtId="0" fontId="25" fillId="33" borderId="21" xfId="0" applyFont="1" applyFill="1" applyBorder="1" applyAlignment="1">
      <alignment horizontal="left" vertical="center" wrapText="1"/>
    </xf>
    <xf numFmtId="172" fontId="25" fillId="35" borderId="29" xfId="153" applyNumberFormat="1" applyFont="1" applyFill="1" applyBorder="1" applyAlignment="1">
      <alignment horizontal="center" vertical="center"/>
    </xf>
    <xf numFmtId="172" fontId="25" fillId="35" borderId="11" xfId="153" applyNumberFormat="1" applyFont="1" applyFill="1" applyBorder="1" applyAlignment="1">
      <alignment horizontal="center" vertical="center"/>
    </xf>
    <xf numFmtId="0" fontId="25" fillId="35" borderId="21" xfId="167" applyFont="1" applyFill="1" applyBorder="1" applyAlignment="1">
      <alignment horizontal="left" vertical="center" wrapText="1"/>
    </xf>
    <xf numFmtId="0" fontId="25" fillId="35" borderId="29" xfId="167" applyFont="1" applyFill="1" applyBorder="1" applyAlignment="1">
      <alignment horizontal="left" vertical="top" wrapText="1"/>
    </xf>
    <xf numFmtId="0" fontId="25" fillId="35" borderId="20" xfId="167" applyFont="1" applyFill="1" applyBorder="1" applyAlignment="1">
      <alignment horizontal="left" vertical="top" wrapText="1"/>
    </xf>
    <xf numFmtId="0" fontId="25" fillId="35" borderId="11" xfId="167" applyFont="1" applyFill="1" applyBorder="1" applyAlignment="1">
      <alignment horizontal="left" vertical="top" wrapText="1"/>
    </xf>
    <xf numFmtId="0" fontId="25" fillId="34" borderId="21" xfId="0" applyFont="1" applyFill="1" applyBorder="1" applyAlignment="1">
      <alignment horizontal="left" vertical="center" wrapText="1"/>
    </xf>
    <xf numFmtId="0" fontId="25" fillId="34" borderId="29" xfId="0" applyFont="1" applyFill="1" applyBorder="1" applyAlignment="1">
      <alignment horizontal="center" vertical="center"/>
    </xf>
    <xf numFmtId="0" fontId="25" fillId="34" borderId="20" xfId="0" applyFont="1" applyFill="1" applyBorder="1" applyAlignment="1">
      <alignment horizontal="center" vertical="center"/>
    </xf>
    <xf numFmtId="0" fontId="25" fillId="34" borderId="11" xfId="0" applyFont="1" applyFill="1" applyBorder="1" applyAlignment="1">
      <alignment horizontal="center" vertical="center"/>
    </xf>
    <xf numFmtId="172" fontId="34" fillId="25" borderId="21" xfId="167" applyNumberFormat="1" applyFont="1" applyFill="1" applyBorder="1" applyAlignment="1">
      <alignment horizontal="left" vertical="center" wrapText="1"/>
    </xf>
    <xf numFmtId="172" fontId="34" fillId="36" borderId="21" xfId="167" applyNumberFormat="1" applyFont="1" applyFill="1" applyBorder="1" applyAlignment="1">
      <alignment horizontal="center" vertical="center" wrapText="1"/>
    </xf>
    <xf numFmtId="172" fontId="34" fillId="34" borderId="29" xfId="167" applyNumberFormat="1" applyFont="1" applyFill="1" applyBorder="1" applyAlignment="1">
      <alignment horizontal="center" vertical="center" wrapText="1"/>
    </xf>
    <xf numFmtId="172" fontId="34" fillId="34" borderId="20" xfId="167" applyNumberFormat="1" applyFont="1" applyFill="1" applyBorder="1" applyAlignment="1">
      <alignment horizontal="center" vertical="center" wrapText="1"/>
    </xf>
    <xf numFmtId="172" fontId="34" fillId="34" borderId="11" xfId="167" applyNumberFormat="1" applyFont="1" applyFill="1" applyBorder="1" applyAlignment="1">
      <alignment horizontal="center" vertical="center" wrapText="1"/>
    </xf>
    <xf numFmtId="172" fontId="34" fillId="36" borderId="29" xfId="167" applyNumberFormat="1" applyFont="1" applyFill="1" applyBorder="1" applyAlignment="1">
      <alignment horizontal="center" vertical="center" wrapText="1"/>
    </xf>
    <xf numFmtId="172" fontId="34" fillId="36" borderId="11" xfId="167" applyNumberFormat="1" applyFont="1" applyFill="1" applyBorder="1" applyAlignment="1">
      <alignment horizontal="center" vertical="center" wrapText="1"/>
    </xf>
    <xf numFmtId="172" fontId="25" fillId="34" borderId="29" xfId="0" applyNumberFormat="1" applyFont="1" applyFill="1" applyBorder="1" applyAlignment="1">
      <alignment horizontal="left" vertical="center" wrapText="1"/>
    </xf>
    <xf numFmtId="172" fontId="25" fillId="34" borderId="20" xfId="0" applyNumberFormat="1" applyFont="1" applyFill="1" applyBorder="1" applyAlignment="1">
      <alignment horizontal="left" vertical="center" wrapText="1"/>
    </xf>
    <xf numFmtId="172" fontId="25" fillId="34" borderId="11" xfId="0" applyNumberFormat="1" applyFont="1" applyFill="1" applyBorder="1" applyAlignment="1">
      <alignment horizontal="left" vertical="center" wrapText="1"/>
    </xf>
    <xf numFmtId="169" fontId="25" fillId="30" borderId="22" xfId="167" applyNumberFormat="1" applyFont="1" applyFill="1" applyBorder="1" applyAlignment="1">
      <alignment horizontal="center" vertical="center" wrapText="1"/>
    </xf>
    <xf numFmtId="169" fontId="25" fillId="30" borderId="35" xfId="167" applyNumberFormat="1" applyFont="1" applyFill="1" applyBorder="1" applyAlignment="1">
      <alignment horizontal="center" vertical="center" wrapText="1"/>
    </xf>
    <xf numFmtId="169" fontId="25" fillId="30" borderId="28" xfId="167" applyNumberFormat="1" applyFont="1" applyFill="1" applyBorder="1" applyAlignment="1">
      <alignment horizontal="center" vertical="center" wrapText="1"/>
    </xf>
    <xf numFmtId="169" fontId="34" fillId="30" borderId="22" xfId="167" applyNumberFormat="1" applyFont="1" applyFill="1" applyBorder="1" applyAlignment="1">
      <alignment horizontal="center" vertical="center" wrapText="1"/>
    </xf>
    <xf numFmtId="169" fontId="34" fillId="30" borderId="28" xfId="167" applyNumberFormat="1" applyFont="1" applyFill="1" applyBorder="1" applyAlignment="1">
      <alignment horizontal="center" vertical="center" wrapText="1"/>
    </xf>
    <xf numFmtId="169" fontId="25" fillId="34" borderId="29" xfId="167" applyNumberFormat="1" applyFont="1" applyFill="1" applyBorder="1" applyAlignment="1">
      <alignment horizontal="left" vertical="center" wrapText="1"/>
    </xf>
    <xf numFmtId="169" fontId="25" fillId="34" borderId="20" xfId="167" applyNumberFormat="1" applyFont="1" applyFill="1" applyBorder="1" applyAlignment="1">
      <alignment horizontal="left" vertical="center" wrapText="1"/>
    </xf>
    <xf numFmtId="169" fontId="25" fillId="34" borderId="11" xfId="167" applyNumberFormat="1" applyFont="1" applyFill="1" applyBorder="1" applyAlignment="1">
      <alignment horizontal="left" vertical="center" wrapText="1"/>
    </xf>
    <xf numFmtId="169" fontId="34" fillId="34" borderId="29" xfId="167" applyNumberFormat="1" applyFont="1" applyFill="1" applyBorder="1" applyAlignment="1">
      <alignment horizontal="center" vertical="center" wrapText="1"/>
    </xf>
    <xf numFmtId="169" fontId="34" fillId="34" borderId="20" xfId="167" applyNumberFormat="1" applyFont="1" applyFill="1" applyBorder="1" applyAlignment="1">
      <alignment horizontal="center" vertical="center" wrapText="1"/>
    </xf>
    <xf numFmtId="169" fontId="34" fillId="34" borderId="11" xfId="167" applyNumberFormat="1" applyFont="1" applyFill="1" applyBorder="1" applyAlignment="1">
      <alignment horizontal="center" vertical="center" wrapText="1"/>
    </xf>
    <xf numFmtId="169" fontId="25" fillId="34" borderId="29" xfId="167" applyNumberFormat="1" applyFont="1" applyFill="1" applyBorder="1" applyAlignment="1">
      <alignment vertical="center" wrapText="1"/>
    </xf>
    <xf numFmtId="169" fontId="25" fillId="34" borderId="20" xfId="167" applyNumberFormat="1" applyFont="1" applyFill="1" applyBorder="1" applyAlignment="1">
      <alignment vertical="center" wrapText="1"/>
    </xf>
    <xf numFmtId="169" fontId="25" fillId="34" borderId="11" xfId="167" applyNumberFormat="1" applyFont="1" applyFill="1" applyBorder="1" applyAlignment="1">
      <alignment vertical="center" wrapText="1"/>
    </xf>
    <xf numFmtId="0" fontId="25" fillId="33" borderId="9" xfId="167" applyFont="1" applyFill="1" applyBorder="1" applyAlignment="1">
      <alignment horizontal="left" vertical="center" wrapText="1"/>
    </xf>
    <xf numFmtId="0" fontId="25" fillId="33" borderId="40" xfId="167" applyFont="1" applyFill="1" applyBorder="1" applyAlignment="1">
      <alignment horizontal="left" vertical="center" wrapText="1"/>
    </xf>
    <xf numFmtId="0" fontId="25" fillId="33" borderId="37" xfId="167" applyFont="1" applyFill="1" applyBorder="1" applyAlignment="1">
      <alignment horizontal="left" vertical="center" wrapText="1"/>
    </xf>
    <xf numFmtId="169" fontId="34" fillId="30" borderId="21" xfId="167" applyNumberFormat="1" applyFont="1" applyFill="1" applyBorder="1" applyAlignment="1">
      <alignment horizontal="center" vertical="center" wrapText="1"/>
    </xf>
    <xf numFmtId="172" fontId="25" fillId="33" borderId="29" xfId="153" applyNumberFormat="1" applyFont="1" applyFill="1" applyBorder="1" applyAlignment="1">
      <alignment horizontal="center" vertical="center"/>
    </xf>
    <xf numFmtId="172" fontId="25" fillId="33" borderId="11" xfId="153" applyNumberFormat="1" applyFont="1" applyFill="1" applyBorder="1" applyAlignment="1">
      <alignment horizontal="center" vertical="center"/>
    </xf>
    <xf numFmtId="0" fontId="25" fillId="33" borderId="29" xfId="0" applyFont="1" applyFill="1" applyBorder="1" applyAlignment="1">
      <alignment horizontal="left" vertical="center" wrapText="1"/>
    </xf>
    <xf numFmtId="0" fontId="25" fillId="33" borderId="11" xfId="0" applyFont="1" applyFill="1" applyBorder="1" applyAlignment="1">
      <alignment horizontal="left" vertical="center" wrapText="1"/>
    </xf>
    <xf numFmtId="172" fontId="25" fillId="34" borderId="29" xfId="167" applyNumberFormat="1" applyFont="1" applyFill="1" applyBorder="1" applyAlignment="1">
      <alignment horizontal="left" vertical="center" wrapText="1"/>
    </xf>
    <xf numFmtId="172" fontId="25" fillId="34" borderId="20" xfId="167" applyNumberFormat="1" applyFont="1" applyFill="1" applyBorder="1" applyAlignment="1">
      <alignment horizontal="left" vertical="center" wrapText="1"/>
    </xf>
    <xf numFmtId="172" fontId="25" fillId="34" borderId="11" xfId="167" applyNumberFormat="1" applyFont="1" applyFill="1" applyBorder="1" applyAlignment="1">
      <alignment horizontal="left" vertical="center" wrapText="1"/>
    </xf>
    <xf numFmtId="169" fontId="44" fillId="34" borderId="29" xfId="167" applyNumberFormat="1" applyFont="1" applyFill="1" applyBorder="1" applyAlignment="1">
      <alignment horizontal="left" vertical="center" wrapText="1"/>
    </xf>
    <xf numFmtId="169" fontId="44" fillId="34" borderId="20" xfId="167" applyNumberFormat="1" applyFont="1" applyFill="1" applyBorder="1" applyAlignment="1">
      <alignment horizontal="left" vertical="center" wrapText="1"/>
    </xf>
    <xf numFmtId="169" fontId="44" fillId="34" borderId="11" xfId="167" applyNumberFormat="1" applyFont="1" applyFill="1" applyBorder="1" applyAlignment="1">
      <alignment horizontal="left" vertical="center" wrapText="1"/>
    </xf>
    <xf numFmtId="0" fontId="25" fillId="35" borderId="29" xfId="0" applyFont="1" applyFill="1" applyBorder="1" applyAlignment="1">
      <alignment horizontal="left" vertical="center"/>
    </xf>
    <xf numFmtId="0" fontId="25" fillId="35" borderId="20" xfId="0" applyFont="1" applyFill="1" applyBorder="1" applyAlignment="1">
      <alignment horizontal="left" vertical="center"/>
    </xf>
    <xf numFmtId="0" fontId="25" fillId="35" borderId="11" xfId="0" applyFont="1" applyFill="1" applyBorder="1" applyAlignment="1">
      <alignment horizontal="left" vertical="center"/>
    </xf>
    <xf numFmtId="172" fontId="25" fillId="35" borderId="29" xfId="153" applyNumberFormat="1" applyFont="1" applyFill="1" applyBorder="1" applyAlignment="1">
      <alignment horizontal="left" vertical="center"/>
    </xf>
    <xf numFmtId="172" fontId="25" fillId="35" borderId="20" xfId="153" applyNumberFormat="1" applyFont="1" applyFill="1" applyBorder="1" applyAlignment="1">
      <alignment horizontal="left" vertical="center"/>
    </xf>
    <xf numFmtId="172" fontId="25" fillId="35" borderId="11" xfId="153" applyNumberFormat="1" applyFont="1" applyFill="1" applyBorder="1" applyAlignment="1">
      <alignment horizontal="left" vertical="center"/>
    </xf>
    <xf numFmtId="169" fontId="34" fillId="34" borderId="21" xfId="167" applyNumberFormat="1" applyFont="1" applyFill="1" applyBorder="1" applyAlignment="1">
      <alignment horizontal="center" vertical="center" wrapText="1"/>
    </xf>
    <xf numFmtId="2" fontId="25" fillId="34" borderId="29" xfId="167" applyNumberFormat="1" applyFont="1" applyFill="1" applyBorder="1" applyAlignment="1">
      <alignment horizontal="left" vertical="center" wrapText="1"/>
    </xf>
    <xf numFmtId="2" fontId="25" fillId="34" borderId="20" xfId="167" applyNumberFormat="1" applyFont="1" applyFill="1" applyBorder="1" applyAlignment="1">
      <alignment horizontal="left" vertical="center" wrapText="1"/>
    </xf>
    <xf numFmtId="2" fontId="25" fillId="34" borderId="11" xfId="167" applyNumberFormat="1" applyFont="1" applyFill="1" applyBorder="1" applyAlignment="1">
      <alignment horizontal="left" vertical="center" wrapText="1"/>
    </xf>
    <xf numFmtId="0" fontId="25" fillId="33" borderId="20" xfId="0" applyFont="1" applyFill="1" applyBorder="1" applyAlignment="1">
      <alignment horizontal="left" vertical="center" wrapText="1"/>
    </xf>
    <xf numFmtId="172" fontId="25" fillId="33" borderId="29" xfId="167" applyNumberFormat="1" applyFont="1" applyFill="1" applyBorder="1" applyAlignment="1">
      <alignment horizontal="left" vertical="center" wrapText="1"/>
    </xf>
    <xf numFmtId="172" fontId="25" fillId="33" borderId="20" xfId="167" applyNumberFormat="1" applyFont="1" applyFill="1" applyBorder="1" applyAlignment="1">
      <alignment horizontal="left" vertical="center" wrapText="1"/>
    </xf>
    <xf numFmtId="172" fontId="25" fillId="33" borderId="11" xfId="167" applyNumberFormat="1" applyFont="1" applyFill="1" applyBorder="1" applyAlignment="1">
      <alignment horizontal="left" vertical="center" wrapText="1"/>
    </xf>
    <xf numFmtId="2" fontId="25" fillId="33" borderId="29" xfId="167" applyNumberFormat="1" applyFont="1" applyFill="1" applyBorder="1" applyAlignment="1">
      <alignment horizontal="left" vertical="center" wrapText="1"/>
    </xf>
    <xf numFmtId="2" fontId="25" fillId="33" borderId="20" xfId="167" applyNumberFormat="1" applyFont="1" applyFill="1" applyBorder="1" applyAlignment="1">
      <alignment horizontal="left" vertical="center" wrapText="1"/>
    </xf>
    <xf numFmtId="2" fontId="25" fillId="33" borderId="11" xfId="167" applyNumberFormat="1" applyFont="1" applyFill="1" applyBorder="1" applyAlignment="1">
      <alignment horizontal="left" vertical="center" wrapText="1"/>
    </xf>
    <xf numFmtId="0" fontId="44" fillId="33" borderId="29" xfId="0" applyFont="1" applyFill="1" applyBorder="1" applyAlignment="1">
      <alignment horizontal="left" vertical="center" wrapText="1"/>
    </xf>
    <xf numFmtId="0" fontId="44" fillId="33" borderId="20" xfId="0" applyFont="1" applyFill="1" applyBorder="1" applyAlignment="1">
      <alignment horizontal="left" vertical="center" wrapText="1"/>
    </xf>
    <xf numFmtId="0" fontId="44" fillId="33" borderId="11" xfId="0" applyFont="1" applyFill="1" applyBorder="1" applyAlignment="1">
      <alignment horizontal="left" vertical="center" wrapText="1"/>
    </xf>
    <xf numFmtId="172" fontId="25" fillId="34" borderId="29" xfId="118" applyNumberFormat="1" applyFont="1" applyFill="1" applyBorder="1" applyAlignment="1">
      <alignment horizontal="left" vertical="center" wrapText="1"/>
    </xf>
    <xf numFmtId="172" fontId="25" fillId="34" borderId="11" xfId="118" applyNumberFormat="1" applyFont="1" applyFill="1" applyBorder="1" applyAlignment="1">
      <alignment horizontal="left" vertical="center" wrapText="1"/>
    </xf>
    <xf numFmtId="172" fontId="25" fillId="35" borderId="29" xfId="118" applyNumberFormat="1" applyFont="1" applyFill="1" applyBorder="1" applyAlignment="1">
      <alignment horizontal="left" vertical="center" wrapText="1"/>
    </xf>
    <xf numFmtId="172" fontId="25" fillId="35" borderId="11" xfId="118" applyNumberFormat="1" applyFont="1" applyFill="1" applyBorder="1" applyAlignment="1">
      <alignment horizontal="left" vertical="center" wrapText="1"/>
    </xf>
    <xf numFmtId="172" fontId="25" fillId="35" borderId="29" xfId="118" applyNumberFormat="1" applyFont="1" applyFill="1" applyBorder="1" applyAlignment="1">
      <alignment horizontal="center" vertical="center" wrapText="1"/>
    </xf>
    <xf numFmtId="172" fontId="25" fillId="35" borderId="20" xfId="118" applyNumberFormat="1" applyFont="1" applyFill="1" applyBorder="1" applyAlignment="1">
      <alignment horizontal="center" vertical="center" wrapText="1"/>
    </xf>
    <xf numFmtId="0" fontId="44" fillId="34" borderId="29" xfId="0" applyFont="1" applyFill="1" applyBorder="1" applyAlignment="1">
      <alignment horizontal="left" vertical="center" wrapText="1"/>
    </xf>
    <xf numFmtId="0" fontId="44" fillId="34" borderId="20" xfId="0" applyFont="1" applyFill="1" applyBorder="1" applyAlignment="1">
      <alignment horizontal="left" vertical="center" wrapText="1"/>
    </xf>
    <xf numFmtId="0" fontId="44" fillId="34" borderId="11" xfId="0" applyFont="1" applyFill="1" applyBorder="1" applyAlignment="1">
      <alignment horizontal="left" vertical="center" wrapText="1"/>
    </xf>
    <xf numFmtId="172" fontId="25" fillId="34" borderId="29" xfId="118" applyNumberFormat="1" applyFont="1" applyFill="1" applyBorder="1" applyAlignment="1">
      <alignment horizontal="left" vertical="center"/>
    </xf>
    <xf numFmtId="172" fontId="25" fillId="34" borderId="11" xfId="118" applyNumberFormat="1" applyFont="1" applyFill="1" applyBorder="1" applyAlignment="1">
      <alignment horizontal="left" vertical="center"/>
    </xf>
    <xf numFmtId="172" fontId="25" fillId="34" borderId="39" xfId="118" applyNumberFormat="1" applyFont="1" applyFill="1" applyBorder="1" applyAlignment="1">
      <alignment horizontal="center" vertical="center"/>
    </xf>
    <xf numFmtId="172" fontId="25" fillId="34" borderId="36" xfId="118" applyNumberFormat="1" applyFont="1" applyFill="1" applyBorder="1" applyAlignment="1">
      <alignment horizontal="center" vertical="center"/>
    </xf>
    <xf numFmtId="2" fontId="25" fillId="35" borderId="29" xfId="167" applyNumberFormat="1" applyFont="1" applyFill="1" applyBorder="1" applyAlignment="1">
      <alignment horizontal="left" vertical="center" wrapText="1"/>
    </xf>
    <xf numFmtId="2" fontId="25" fillId="35" borderId="20" xfId="167" applyNumberFormat="1" applyFont="1" applyFill="1" applyBorder="1" applyAlignment="1">
      <alignment horizontal="left" vertical="center" wrapText="1"/>
    </xf>
    <xf numFmtId="0" fontId="25" fillId="33" borderId="20" xfId="0" applyFont="1" applyFill="1" applyBorder="1" applyAlignment="1">
      <alignment horizontal="center" vertical="center" wrapText="1"/>
    </xf>
    <xf numFmtId="0" fontId="25" fillId="33" borderId="11" xfId="0" applyFont="1" applyFill="1" applyBorder="1" applyAlignment="1">
      <alignment horizontal="center" vertical="center" wrapText="1"/>
    </xf>
    <xf numFmtId="0" fontId="25" fillId="35" borderId="9" xfId="167" applyFont="1" applyFill="1" applyBorder="1" applyAlignment="1">
      <alignment horizontal="left" vertical="center" wrapText="1"/>
    </xf>
    <xf numFmtId="0" fontId="25" fillId="35" borderId="40" xfId="167" applyFont="1" applyFill="1" applyBorder="1" applyAlignment="1">
      <alignment horizontal="left" vertical="center" wrapText="1"/>
    </xf>
    <xf numFmtId="0" fontId="25" fillId="35" borderId="37" xfId="167" applyFont="1" applyFill="1" applyBorder="1" applyAlignment="1">
      <alignment horizontal="left" vertical="center" wrapText="1"/>
    </xf>
    <xf numFmtId="0" fontId="34" fillId="35" borderId="11" xfId="167" applyFont="1" applyFill="1" applyBorder="1" applyAlignment="1">
      <alignment horizontal="left" vertical="center" wrapText="1"/>
    </xf>
    <xf numFmtId="0" fontId="34" fillId="0" borderId="36" xfId="167" applyFont="1" applyBorder="1" applyAlignment="1">
      <alignment horizontal="left" vertical="center" wrapText="1"/>
    </xf>
    <xf numFmtId="172" fontId="25" fillId="34" borderId="29" xfId="118" applyNumberFormat="1" applyFont="1" applyFill="1" applyBorder="1" applyAlignment="1">
      <alignment horizontal="center" vertical="center"/>
    </xf>
    <xf numFmtId="172" fontId="25" fillId="34" borderId="11" xfId="118" applyNumberFormat="1" applyFont="1" applyFill="1" applyBorder="1" applyAlignment="1">
      <alignment horizontal="center" vertical="center"/>
    </xf>
    <xf numFmtId="0" fontId="46" fillId="0" borderId="36" xfId="0" applyFont="1" applyBorder="1" applyAlignment="1">
      <alignment horizontal="left" vertical="center"/>
    </xf>
    <xf numFmtId="0" fontId="34" fillId="25" borderId="39" xfId="167" applyFont="1" applyFill="1" applyBorder="1" applyAlignment="1">
      <alignment horizontal="left" vertical="center" wrapText="1"/>
    </xf>
    <xf numFmtId="0" fontId="34" fillId="25" borderId="41" xfId="167" applyFont="1" applyFill="1" applyBorder="1" applyAlignment="1">
      <alignment horizontal="left" vertical="center" wrapText="1"/>
    </xf>
    <xf numFmtId="0" fontId="25" fillId="34" borderId="20" xfId="0" applyFont="1" applyFill="1" applyBorder="1" applyAlignment="1">
      <alignment horizontal="left" vertical="top" wrapText="1"/>
    </xf>
    <xf numFmtId="0" fontId="25" fillId="35" borderId="21" xfId="0" applyFont="1" applyFill="1" applyBorder="1" applyAlignment="1">
      <alignment horizontal="left" vertical="center" wrapText="1"/>
    </xf>
    <xf numFmtId="172" fontId="25" fillId="35" borderId="29" xfId="118" applyNumberFormat="1" applyFont="1" applyFill="1" applyBorder="1" applyAlignment="1">
      <alignment horizontal="center" vertical="center"/>
    </xf>
    <xf numFmtId="172" fontId="25" fillId="35" borderId="20" xfId="118" applyNumberFormat="1" applyFont="1" applyFill="1" applyBorder="1" applyAlignment="1">
      <alignment horizontal="center" vertical="center"/>
    </xf>
    <xf numFmtId="49" fontId="25" fillId="0" borderId="0" xfId="0" applyNumberFormat="1" applyFont="1" applyAlignment="1">
      <alignment horizontal="left" vertical="center" wrapText="1"/>
    </xf>
    <xf numFmtId="172" fontId="25" fillId="35" borderId="11" xfId="118" applyNumberFormat="1" applyFont="1" applyFill="1" applyBorder="1" applyAlignment="1">
      <alignment horizontal="center" vertical="center"/>
    </xf>
    <xf numFmtId="0" fontId="20" fillId="33" borderId="29" xfId="0" applyFont="1" applyFill="1" applyBorder="1" applyAlignment="1">
      <alignment horizontal="left" vertical="center" wrapText="1"/>
    </xf>
    <xf numFmtId="0" fontId="20" fillId="33" borderId="11" xfId="0" applyFont="1" applyFill="1" applyBorder="1" applyAlignment="1">
      <alignment horizontal="left" vertical="center" wrapText="1"/>
    </xf>
  </cellXfs>
  <cellStyles count="401">
    <cellStyle name="20% - Accent1 2" xfId="1"/>
    <cellStyle name="20% - Accent1 3" xfId="2"/>
    <cellStyle name="20% - Accent1 4" xfId="3"/>
    <cellStyle name="20% - Accent2 2" xfId="4"/>
    <cellStyle name="20% - Accent2 3" xfId="5"/>
    <cellStyle name="20% - Accent2 4" xfId="6"/>
    <cellStyle name="20% - Accent3 2" xfId="7"/>
    <cellStyle name="20% - Accent3 3" xfId="8"/>
    <cellStyle name="20% - Accent3 4" xfId="9"/>
    <cellStyle name="20% - Accent4 2" xfId="10"/>
    <cellStyle name="20% - Accent4 3" xfId="11"/>
    <cellStyle name="20% - Accent4 4" xfId="12"/>
    <cellStyle name="20% - Accent5 2" xfId="13"/>
    <cellStyle name="20% - Accent5 3" xfId="14"/>
    <cellStyle name="20% - Accent5 4" xfId="15"/>
    <cellStyle name="20% - Accent6 2" xfId="16"/>
    <cellStyle name="20% - Accent6 3" xfId="17"/>
    <cellStyle name="20% - Accent6 4" xfId="18"/>
    <cellStyle name="40% - Accent1 2" xfId="19"/>
    <cellStyle name="40% - Accent1 3" xfId="20"/>
    <cellStyle name="40% - Accent1 4" xfId="21"/>
    <cellStyle name="40% - Accent2 2" xfId="22"/>
    <cellStyle name="40% - Accent2 3" xfId="23"/>
    <cellStyle name="40% - Accent2 4" xfId="24"/>
    <cellStyle name="40% - Accent3 2" xfId="25"/>
    <cellStyle name="40% - Accent3 3" xfId="26"/>
    <cellStyle name="40% - Accent3 4" xfId="27"/>
    <cellStyle name="40% - Accent4 2" xfId="28"/>
    <cellStyle name="40% - Accent4 3" xfId="29"/>
    <cellStyle name="40% - Accent4 4" xfId="30"/>
    <cellStyle name="40% - Accent5 2" xfId="31"/>
    <cellStyle name="40% - Accent5 3" xfId="32"/>
    <cellStyle name="40% - Accent5 4" xfId="33"/>
    <cellStyle name="40% - Accent6 2" xfId="34"/>
    <cellStyle name="40% - Accent6 3" xfId="35"/>
    <cellStyle name="40% - Accent6 4" xfId="36"/>
    <cellStyle name="60% - Accent1 2" xfId="37"/>
    <cellStyle name="60% - Accent1 3" xfId="38"/>
    <cellStyle name="60% - Accent1 4" xfId="39"/>
    <cellStyle name="60% - Accent2 2" xfId="40"/>
    <cellStyle name="60% - Accent2 3" xfId="41"/>
    <cellStyle name="60% - Accent2 4" xfId="42"/>
    <cellStyle name="60% - Accent3 2" xfId="43"/>
    <cellStyle name="60% - Accent3 3" xfId="44"/>
    <cellStyle name="60% - Accent3 4" xfId="45"/>
    <cellStyle name="60% - Accent4 2" xfId="46"/>
    <cellStyle name="60% - Accent4 3" xfId="47"/>
    <cellStyle name="60% - Accent4 4" xfId="48"/>
    <cellStyle name="60% - Accent5 2" xfId="49"/>
    <cellStyle name="60% - Accent5 3" xfId="50"/>
    <cellStyle name="60% - Accent5 4" xfId="51"/>
    <cellStyle name="60% - Accent6 2" xfId="52"/>
    <cellStyle name="60% - Accent6 3" xfId="53"/>
    <cellStyle name="60% - Accent6 4" xfId="54"/>
    <cellStyle name="Accent1 2" xfId="55"/>
    <cellStyle name="Accent1 3" xfId="56"/>
    <cellStyle name="Accent1 4" xfId="57"/>
    <cellStyle name="Accent2 2" xfId="58"/>
    <cellStyle name="Accent2 3" xfId="59"/>
    <cellStyle name="Accent2 4" xfId="60"/>
    <cellStyle name="Accent3 2" xfId="61"/>
    <cellStyle name="Accent3 3" xfId="62"/>
    <cellStyle name="Accent3 4" xfId="63"/>
    <cellStyle name="Accent4 2" xfId="64"/>
    <cellStyle name="Accent4 3" xfId="65"/>
    <cellStyle name="Accent4 4" xfId="66"/>
    <cellStyle name="Accent5 2" xfId="67"/>
    <cellStyle name="Accent5 3" xfId="68"/>
    <cellStyle name="Accent5 4" xfId="69"/>
    <cellStyle name="Accent6 2" xfId="70"/>
    <cellStyle name="Accent6 3" xfId="71"/>
    <cellStyle name="Accent6 4" xfId="72"/>
    <cellStyle name="Bad 2" xfId="73"/>
    <cellStyle name="Bad 3" xfId="74"/>
    <cellStyle name="Bad 4" xfId="75"/>
    <cellStyle name="Calculation 2" xfId="76"/>
    <cellStyle name="Calculation 2 2" xfId="77"/>
    <cellStyle name="Calculation 3" xfId="78"/>
    <cellStyle name="Calculation 3 2" xfId="79"/>
    <cellStyle name="Calculation 4" xfId="80"/>
    <cellStyle name="Calculation 4 2" xfId="81"/>
    <cellStyle name="Check Cell 2" xfId="82"/>
    <cellStyle name="Check Cell 3" xfId="83"/>
    <cellStyle name="Check Cell 4" xfId="84"/>
    <cellStyle name="Comma 2" xfId="85"/>
    <cellStyle name="Comma 2 2" xfId="86"/>
    <cellStyle name="Comma 2 2 2" xfId="87"/>
    <cellStyle name="Comma 2 2 3" xfId="88"/>
    <cellStyle name="Comma 2 2 3 2" xfId="89"/>
    <cellStyle name="Comma 2 2 3 2 2" xfId="90"/>
    <cellStyle name="Comma 2 2 3 2 2 2" xfId="91"/>
    <cellStyle name="Comma 2 2 3 2 3" xfId="92"/>
    <cellStyle name="Comma 2 2 3 2 3 2" xfId="93"/>
    <cellStyle name="Comma 2 2 3 2 4" xfId="94"/>
    <cellStyle name="Comma 2 2 4" xfId="95"/>
    <cellStyle name="Comma 2 2 5" xfId="96"/>
    <cellStyle name="Comma 2 3" xfId="97"/>
    <cellStyle name="Comma 2 4" xfId="98"/>
    <cellStyle name="Comma 2 4 2" xfId="99"/>
    <cellStyle name="Comma 2 4 2 2" xfId="100"/>
    <cellStyle name="Comma 2 4 3" xfId="101"/>
    <cellStyle name="Comma 2 5" xfId="102"/>
    <cellStyle name="Comma 2 6" xfId="103"/>
    <cellStyle name="Comma 2 7" xfId="104"/>
    <cellStyle name="Comma 2 7 2" xfId="105"/>
    <cellStyle name="Comma 2 7 3" xfId="106"/>
    <cellStyle name="Comma 2 8" xfId="107"/>
    <cellStyle name="Comma 3" xfId="108"/>
    <cellStyle name="Comma 3 2" xfId="109"/>
    <cellStyle name="Comma 3 2 2" xfId="110"/>
    <cellStyle name="Comma 3 3" xfId="111"/>
    <cellStyle name="Comma 3 4" xfId="112"/>
    <cellStyle name="Comma 4" xfId="113"/>
    <cellStyle name="Comma 4 2" xfId="114"/>
    <cellStyle name="Comma 4 2 2" xfId="115"/>
    <cellStyle name="Comma 4 3" xfId="116"/>
    <cellStyle name="Comma 5" xfId="117"/>
    <cellStyle name="Comma 6" xfId="118"/>
    <cellStyle name="Comma 7" xfId="119"/>
    <cellStyle name="Comma 8" xfId="120"/>
    <cellStyle name="Comma 8 2" xfId="121"/>
    <cellStyle name="Comma 9" xfId="122"/>
    <cellStyle name="Currency 2" xfId="123"/>
    <cellStyle name="Currency 2 2" xfId="124"/>
    <cellStyle name="Currency 3" xfId="125"/>
    <cellStyle name="Explanatory Text 2" xfId="126"/>
    <cellStyle name="Explanatory Text 3" xfId="127"/>
    <cellStyle name="Explanatory Text 4" xfId="128"/>
    <cellStyle name="Good 2" xfId="129"/>
    <cellStyle name="Good 3" xfId="130"/>
    <cellStyle name="Good 4" xfId="131"/>
    <cellStyle name="Heading 1 2" xfId="132"/>
    <cellStyle name="Heading 1 3" xfId="133"/>
    <cellStyle name="Heading 1 4" xfId="134"/>
    <cellStyle name="Heading 2 2" xfId="135"/>
    <cellStyle name="Heading 2 3" xfId="136"/>
    <cellStyle name="Heading 2 4" xfId="137"/>
    <cellStyle name="Heading 3 2" xfId="138"/>
    <cellStyle name="Heading 3 3" xfId="139"/>
    <cellStyle name="Heading 3 4" xfId="140"/>
    <cellStyle name="Heading 4 2" xfId="141"/>
    <cellStyle name="Heading 4 3" xfId="142"/>
    <cellStyle name="Heading 4 4" xfId="143"/>
    <cellStyle name="Input 2" xfId="144"/>
    <cellStyle name="Input 2 2" xfId="145"/>
    <cellStyle name="Input 3" xfId="146"/>
    <cellStyle name="Input 3 2" xfId="147"/>
    <cellStyle name="Input 4" xfId="148"/>
    <cellStyle name="Input 4 2" xfId="149"/>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xfId="385" builtinId="8" hidden="1"/>
    <cellStyle name="Lien hypertexte" xfId="387" builtinId="8" hidden="1"/>
    <cellStyle name="Lien hypertexte" xfId="389" builtinId="8" hidden="1"/>
    <cellStyle name="Lien hypertexte" xfId="391" builtinId="8" hidden="1"/>
    <cellStyle name="Lien hypertexte" xfId="393" builtinId="8" hidden="1"/>
    <cellStyle name="Lien hypertexte" xfId="395" builtinId="8" hidden="1"/>
    <cellStyle name="Lien hypertexte" xfId="397" builtinId="8" hidden="1"/>
    <cellStyle name="Lien hypertexte" xfId="399" builtinId="8"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Lien hypertexte visité" xfId="386" builtinId="9" hidden="1"/>
    <cellStyle name="Lien hypertexte visité" xfId="388" builtinId="9" hidden="1"/>
    <cellStyle name="Lien hypertexte visité" xfId="390" builtinId="9" hidden="1"/>
    <cellStyle name="Lien hypertexte visité" xfId="392" builtinId="9" hidden="1"/>
    <cellStyle name="Lien hypertexte visité" xfId="394" builtinId="9" hidden="1"/>
    <cellStyle name="Lien hypertexte visité" xfId="396" builtinId="9" hidden="1"/>
    <cellStyle name="Lien hypertexte visité" xfId="398" builtinId="9" hidden="1"/>
    <cellStyle name="Lien hypertexte visité" xfId="400" builtinId="9" hidden="1"/>
    <cellStyle name="Linked Cell 2" xfId="150"/>
    <cellStyle name="Linked Cell 3" xfId="151"/>
    <cellStyle name="Linked Cell 4" xfId="152"/>
    <cellStyle name="Milliers" xfId="153" builtinId="3"/>
    <cellStyle name="Neutral 2" xfId="154"/>
    <cellStyle name="Neutral 3" xfId="155"/>
    <cellStyle name="Neutral 4" xfId="156"/>
    <cellStyle name="Normal" xfId="0" builtinId="0"/>
    <cellStyle name="Normal 10" xfId="157"/>
    <cellStyle name="Normal 11" xfId="158"/>
    <cellStyle name="Normal 11 2" xfId="159"/>
    <cellStyle name="Normal 12" xfId="232"/>
    <cellStyle name="Normal 2" xfId="160"/>
    <cellStyle name="Normal 3" xfId="161"/>
    <cellStyle name="Normal 3 2" xfId="162"/>
    <cellStyle name="Normal 3 2 2" xfId="163"/>
    <cellStyle name="Normal 3 2 2 2" xfId="164"/>
    <cellStyle name="Normal 3 2 2 3" xfId="165"/>
    <cellStyle name="Normal 3 2 3" xfId="166"/>
    <cellStyle name="Normal 3 2 3 2" xfId="167"/>
    <cellStyle name="Normal 3 2 3 2 2" xfId="168"/>
    <cellStyle name="Normal 3 2 3 2 3" xfId="169"/>
    <cellStyle name="Normal 3 2 3 2 3 2" xfId="170"/>
    <cellStyle name="Normal 3 2 3 2 4" xfId="171"/>
    <cellStyle name="Normal 3 2 3 2 4 2" xfId="172"/>
    <cellStyle name="Normal 3 2 3 2 5" xfId="173"/>
    <cellStyle name="Normal 3 2 3 2 6" xfId="174"/>
    <cellStyle name="Normal 3 2 3 2 6 2" xfId="175"/>
    <cellStyle name="Normal 3 2 3 2 6 3" xfId="176"/>
    <cellStyle name="Normal 3 2 4" xfId="177"/>
    <cellStyle name="Normal 3 2 5" xfId="178"/>
    <cellStyle name="Normal 3 3" xfId="179"/>
    <cellStyle name="Normal 3 4" xfId="180"/>
    <cellStyle name="Normal 3 4 2" xfId="181"/>
    <cellStyle name="Normal 3 4 2 2" xfId="182"/>
    <cellStyle name="Normal 3 4 3" xfId="183"/>
    <cellStyle name="Normal 3 5" xfId="184"/>
    <cellStyle name="Normal 3 6" xfId="185"/>
    <cellStyle name="Normal 3 6 2" xfId="186"/>
    <cellStyle name="Normal 3 6 3" xfId="187"/>
    <cellStyle name="Normal 3 7" xfId="188"/>
    <cellStyle name="Normal 4" xfId="189"/>
    <cellStyle name="Normal 5" xfId="190"/>
    <cellStyle name="Normal 6" xfId="191"/>
    <cellStyle name="Normal 7" xfId="192"/>
    <cellStyle name="Normal 7 2" xfId="193"/>
    <cellStyle name="Normal 8" xfId="194"/>
    <cellStyle name="Normal 8 2" xfId="195"/>
    <cellStyle name="Normal 9" xfId="196"/>
    <cellStyle name="Normal 9 2" xfId="197"/>
    <cellStyle name="Note 2" xfId="198"/>
    <cellStyle name="Note 2 2" xfId="199"/>
    <cellStyle name="Note 3" xfId="200"/>
    <cellStyle name="Note 3 2" xfId="201"/>
    <cellStyle name="Note 4" xfId="202"/>
    <cellStyle name="Note 4 2" xfId="203"/>
    <cellStyle name="Output 2" xfId="204"/>
    <cellStyle name="Output 2 2" xfId="205"/>
    <cellStyle name="Output 3" xfId="206"/>
    <cellStyle name="Output 3 2" xfId="207"/>
    <cellStyle name="Output 4" xfId="208"/>
    <cellStyle name="Output 4 2" xfId="209"/>
    <cellStyle name="Percent 2" xfId="210"/>
    <cellStyle name="Percent 2 2" xfId="211"/>
    <cellStyle name="Percent 2 3" xfId="212"/>
    <cellStyle name="Percent 3" xfId="213"/>
    <cellStyle name="Percent 3 2" xfId="214"/>
    <cellStyle name="Percent 4" xfId="215"/>
    <cellStyle name="Percent 5" xfId="216"/>
    <cellStyle name="Percent 6" xfId="217"/>
    <cellStyle name="Style 1" xfId="218"/>
    <cellStyle name="Style 1 2" xfId="219"/>
    <cellStyle name="Title 2" xfId="220"/>
    <cellStyle name="Title 3" xfId="221"/>
    <cellStyle name="Title 4" xfId="222"/>
    <cellStyle name="Total 2" xfId="223"/>
    <cellStyle name="Total 2 2" xfId="224"/>
    <cellStyle name="Total 3" xfId="225"/>
    <cellStyle name="Total 3 2" xfId="226"/>
    <cellStyle name="Total 4" xfId="227"/>
    <cellStyle name="Total 4 2" xfId="228"/>
    <cellStyle name="Warning Text 2" xfId="229"/>
    <cellStyle name="Warning Text 3" xfId="230"/>
    <cellStyle name="Warning Text 4" xfId="2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externalLink" Target="externalLinks/externalLink1.xml"/><Relationship Id="rId28" Type="http://schemas.openxmlformats.org/officeDocument/2006/relationships/externalLink" Target="externalLinks/externalLink2.xml"/><Relationship Id="rId29" Type="http://schemas.openxmlformats.org/officeDocument/2006/relationships/externalLink" Target="externalLinks/externalLink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externalLink" Target="externalLinks/externalLink4.xml"/><Relationship Id="rId31" Type="http://schemas.openxmlformats.org/officeDocument/2006/relationships/externalLink" Target="externalLinks/externalLink5.xml"/><Relationship Id="rId32" Type="http://schemas.openxmlformats.org/officeDocument/2006/relationships/externalLink" Target="externalLinks/externalLink6.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theme" Target="theme/theme1.xml"/><Relationship Id="rId34" Type="http://schemas.openxmlformats.org/officeDocument/2006/relationships/styles" Target="styles.xml"/><Relationship Id="rId35" Type="http://schemas.openxmlformats.org/officeDocument/2006/relationships/sharedStrings" Target="sharedStrings.xml"/><Relationship Id="rId36"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customXml" Target="../customXml/item1.xml"/><Relationship Id="rId38" Type="http://schemas.openxmlformats.org/officeDocument/2006/relationships/customXml" Target="../customXml/item2.xml"/><Relationship Id="rId3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UN-REDD%20Personnel%20list_2016.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llocations%20%25%20per%20work%20area%2015%2012%202010%20(2).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018%20-%202020%20master%20budget%20sheet%201%20June%2017.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019%20Budget%20analysis%2012%20June%202018%20hidden%202018%20and%202020.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Template%20-%202019%20work%20plan%20and%20budget%20at%20output%20leve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azza/Downloads/UNDP%20KM%20budget%20with%20budget%20addendum%20for%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Consl. List 2015"/>
      <sheetName val="FAO"/>
      <sheetName val="UNDP"/>
      <sheetName val="UNEP"/>
      <sheetName val="Full consl list for MG"/>
      <sheetName val="Sheet3"/>
      <sheetName val="Sheet4"/>
      <sheetName val="Sheet5"/>
      <sheetName val="Sheet1"/>
      <sheetName val="Sheet10"/>
      <sheetName val="Sheet6"/>
      <sheetName val="Summarized List"/>
      <sheetName val="Sheet8"/>
      <sheetName val="Sheet11"/>
      <sheetName val="Summarized List (2)"/>
    </sheetNames>
    <sheetDataSet>
      <sheetData sheetId="0">
        <row r="4">
          <cell r="D4" t="str">
            <v>SNA-GP</v>
          </cell>
          <cell r="G4" t="str">
            <v>ASG</v>
          </cell>
        </row>
        <row r="5">
          <cell r="D5" t="str">
            <v>NP</v>
          </cell>
          <cell r="G5" t="str">
            <v>Director</v>
          </cell>
        </row>
        <row r="6">
          <cell r="D6" t="str">
            <v>JPO funds</v>
          </cell>
          <cell r="G6" t="str">
            <v>Professional Staff</v>
          </cell>
        </row>
        <row r="7">
          <cell r="D7" t="str">
            <v>Other</v>
          </cell>
          <cell r="G7" t="str">
            <v>Support Staff</v>
          </cell>
        </row>
        <row r="8">
          <cell r="G8" t="str">
            <v>Consl.&gt; 6 months</v>
          </cell>
        </row>
        <row r="9">
          <cell r="G9" t="str">
            <v>Consl. &lt; 6 months</v>
          </cell>
        </row>
        <row r="10">
          <cell r="G10" t="str">
            <v>UNV</v>
          </cell>
        </row>
        <row r="11">
          <cell r="G11" t="str">
            <v>Intern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P1 chart"/>
      <sheetName val="Global Programme 1"/>
      <sheetName val="GP1 data"/>
      <sheetName val="5 y framework"/>
      <sheetName val="Secretariat"/>
      <sheetName val="Sheet4"/>
      <sheetName val="Sheet1"/>
      <sheetName val="GP1_chart"/>
      <sheetName val="Global_Programme_1"/>
      <sheetName val="GP1_data"/>
      <sheetName val="5_y_framework"/>
    </sheetNames>
    <sheetDataSet>
      <sheetData sheetId="0" refreshError="1"/>
      <sheetData sheetId="1" refreshError="1"/>
      <sheetData sheetId="2">
        <row r="10">
          <cell r="F10">
            <v>6782705.3120833328</v>
          </cell>
        </row>
      </sheetData>
      <sheetData sheetId="3"/>
      <sheetData sheetId="4"/>
      <sheetData sheetId="5"/>
      <sheetData sheetId="6"/>
      <sheetData sheetId="7"/>
      <sheetData sheetId="8"/>
      <sheetData sheetId="9">
        <row r="10">
          <cell r="F10">
            <v>6782705.3120833328</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2)"/>
      <sheetName val="Consl List"/>
      <sheetName val="Consl - Countries"/>
      <sheetName val="Consl 2018-2020 WP &amp; Budget"/>
      <sheetName val="Africa"/>
      <sheetName val="Asia"/>
      <sheetName val="LAC"/>
      <sheetName val="Global Com"/>
      <sheetName val="FAO"/>
      <sheetName val="Global"/>
      <sheetName val="Sheet1"/>
    </sheetNames>
    <sheetDataSet>
      <sheetData sheetId="0" refreshError="1"/>
      <sheetData sheetId="1" refreshError="1"/>
      <sheetData sheetId="2" refreshError="1"/>
      <sheetData sheetId="3" refreshError="1"/>
      <sheetData sheetId="4">
        <row r="5">
          <cell r="G5">
            <v>0</v>
          </cell>
        </row>
        <row r="9">
          <cell r="G9">
            <v>0</v>
          </cell>
        </row>
        <row r="11">
          <cell r="G11">
            <v>0</v>
          </cell>
        </row>
      </sheetData>
      <sheetData sheetId="5">
        <row r="5">
          <cell r="E5">
            <v>0</v>
          </cell>
          <cell r="F5">
            <v>0</v>
          </cell>
        </row>
        <row r="9">
          <cell r="F9">
            <v>0</v>
          </cell>
        </row>
        <row r="11">
          <cell r="F11">
            <v>0</v>
          </cell>
        </row>
      </sheetData>
      <sheetData sheetId="6">
        <row r="5">
          <cell r="E5">
            <v>0</v>
          </cell>
          <cell r="F5">
            <v>0</v>
          </cell>
        </row>
        <row r="9">
          <cell r="F9">
            <v>0</v>
          </cell>
        </row>
        <row r="11">
          <cell r="F11">
            <v>0</v>
          </cell>
        </row>
      </sheetData>
      <sheetData sheetId="7">
        <row r="5">
          <cell r="F5">
            <v>100000</v>
          </cell>
        </row>
        <row r="9">
          <cell r="F9">
            <v>50000</v>
          </cell>
        </row>
        <row r="11">
          <cell r="F11">
            <v>50000</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 - 2020 Budget (2)"/>
    </sheetNames>
    <sheetDataSet>
      <sheetData sheetId="0">
        <row r="6">
          <cell r="F6">
            <v>202402</v>
          </cell>
          <cell r="N6">
            <v>202402</v>
          </cell>
          <cell r="O6">
            <v>338860</v>
          </cell>
          <cell r="P6">
            <v>95000</v>
          </cell>
          <cell r="Q6">
            <v>636262</v>
          </cell>
          <cell r="R6">
            <v>1816129</v>
          </cell>
        </row>
        <row r="13">
          <cell r="N13">
            <v>202402</v>
          </cell>
          <cell r="O13">
            <v>148580</v>
          </cell>
          <cell r="P13">
            <v>0</v>
          </cell>
          <cell r="Q13">
            <v>350982</v>
          </cell>
          <cell r="R13">
            <v>1048630</v>
          </cell>
        </row>
        <row r="16">
          <cell r="N16">
            <v>151801</v>
          </cell>
          <cell r="O16">
            <v>239300</v>
          </cell>
          <cell r="P16">
            <v>85126</v>
          </cell>
          <cell r="Q16">
            <v>476227</v>
          </cell>
          <cell r="R16">
            <v>1453433</v>
          </cell>
        </row>
        <row r="17">
          <cell r="N17">
            <v>113851</v>
          </cell>
          <cell r="O17">
            <v>414400</v>
          </cell>
          <cell r="P17">
            <v>93595</v>
          </cell>
          <cell r="Q17">
            <v>621846</v>
          </cell>
          <cell r="R17">
            <v>1897790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l List"/>
      <sheetName val="Consl - Countries"/>
      <sheetName val="Global"/>
      <sheetName val="Consl  Budget"/>
      <sheetName val="List by Agency"/>
      <sheetName val="2018 - 2020 Budget"/>
      <sheetName val="Cote D' Ivoire"/>
      <sheetName val="Colombia"/>
      <sheetName val="Indonesia"/>
      <sheetName val="Mexico"/>
      <sheetName val="Myanmar"/>
      <sheetName val="Peru"/>
      <sheetName val="Rep of Congo"/>
      <sheetName val="Viet Nam"/>
      <sheetName val="Zambia"/>
      <sheetName val="Cross cutting &amp; comms"/>
      <sheetName val="Finance &amp; Private Sector"/>
      <sheetName val="Landscapes Approach"/>
      <sheetName val="NFMS"/>
      <sheetName val="Paris Agrmt &amp; SDGs"/>
      <sheetName val="REDD+ Funding Mechanism"/>
      <sheetName val="Tenure &amp; IP Rights"/>
      <sheetName val="Sheet1"/>
      <sheetName val="Sheet3"/>
      <sheetName val="2018 - 2020 Budget (2)"/>
    </sheetNames>
    <sheetDataSet>
      <sheetData sheetId="0">
        <row r="21">
          <cell r="G21">
            <v>518240</v>
          </cell>
        </row>
      </sheetData>
      <sheetData sheetId="1"/>
      <sheetData sheetId="2"/>
      <sheetData sheetId="3"/>
      <sheetData sheetId="4"/>
      <sheetData sheetId="5">
        <row r="3">
          <cell r="I3" t="str">
            <v>UNEP</v>
          </cell>
        </row>
      </sheetData>
      <sheetData sheetId="6">
        <row r="3">
          <cell r="I3" t="str">
            <v>UNEP</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Comparison"/>
    </sheetNames>
    <sheetDataSet>
      <sheetData sheetId="0" refreshError="1"/>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1"/>
  <sheetViews>
    <sheetView showGridLines="0" workbookViewId="0">
      <selection activeCell="I29" sqref="I29"/>
    </sheetView>
  </sheetViews>
  <sheetFormatPr baseColWidth="10" defaultColWidth="9.1640625" defaultRowHeight="15" x14ac:dyDescent="0.2"/>
  <cols>
    <col min="1" max="1" width="9.1640625" style="16"/>
    <col min="2" max="2" width="34.33203125" style="16" customWidth="1"/>
    <col min="3" max="5" width="12.5" style="16" bestFit="1" customWidth="1"/>
    <col min="6" max="6" width="11.5" style="16" bestFit="1" customWidth="1"/>
    <col min="7" max="7" width="9.6640625" style="16" bestFit="1" customWidth="1"/>
    <col min="8" max="16384" width="9.1640625" style="16"/>
  </cols>
  <sheetData>
    <row r="2" spans="2:7" x14ac:dyDescent="0.2">
      <c r="B2" s="15" t="s">
        <v>0</v>
      </c>
      <c r="C2" s="15" t="s">
        <v>1</v>
      </c>
      <c r="D2" s="15" t="s">
        <v>2</v>
      </c>
      <c r="E2" s="15" t="s">
        <v>3</v>
      </c>
      <c r="F2" s="15" t="s">
        <v>4</v>
      </c>
    </row>
    <row r="3" spans="2:7" x14ac:dyDescent="0.2">
      <c r="B3" s="17" t="s">
        <v>5</v>
      </c>
      <c r="C3" s="18">
        <f>C4+C8+C12</f>
        <v>13535348</v>
      </c>
      <c r="D3" s="18">
        <f>D4+D8+D12</f>
        <v>5965793</v>
      </c>
      <c r="E3" s="18">
        <f>E4+E8+E12</f>
        <v>5595780</v>
      </c>
      <c r="F3" s="18">
        <f>F4+F8+F12</f>
        <v>1973775</v>
      </c>
    </row>
    <row r="4" spans="2:7" x14ac:dyDescent="0.2">
      <c r="B4" s="19" t="s">
        <v>6</v>
      </c>
      <c r="C4" s="20">
        <f>SUM(C5:C7)</f>
        <v>3750587</v>
      </c>
      <c r="D4" s="20">
        <f>SUM(D5:D7)</f>
        <v>1981007</v>
      </c>
      <c r="E4" s="20">
        <f>SUM(E5:E7)</f>
        <v>1201680</v>
      </c>
      <c r="F4" s="20">
        <f>SUM(F5:F7)</f>
        <v>567900</v>
      </c>
    </row>
    <row r="5" spans="2:7" x14ac:dyDescent="0.2">
      <c r="B5" s="21" t="s">
        <v>7</v>
      </c>
      <c r="C5" s="22">
        <f>SUM(D5:F5)</f>
        <v>1950305</v>
      </c>
      <c r="D5" s="22">
        <v>607205</v>
      </c>
      <c r="E5" s="22">
        <v>1058100</v>
      </c>
      <c r="F5" s="22">
        <f>95000*3</f>
        <v>285000</v>
      </c>
    </row>
    <row r="6" spans="2:7" x14ac:dyDescent="0.2">
      <c r="B6" s="21" t="s">
        <v>8</v>
      </c>
      <c r="C6" s="22">
        <f t="shared" ref="C6:C15" si="0">SUM(D6:F6)</f>
        <v>721057</v>
      </c>
      <c r="D6" s="22">
        <v>721057</v>
      </c>
      <c r="E6" s="22">
        <v>0</v>
      </c>
      <c r="F6" s="22">
        <v>0</v>
      </c>
    </row>
    <row r="7" spans="2:7" x14ac:dyDescent="0.2">
      <c r="B7" s="21" t="s">
        <v>9</v>
      </c>
      <c r="C7" s="22">
        <f t="shared" si="0"/>
        <v>1079225</v>
      </c>
      <c r="D7" s="22">
        <v>652745</v>
      </c>
      <c r="E7" s="22">
        <v>143580</v>
      </c>
      <c r="F7" s="22">
        <f>94300*3</f>
        <v>282900</v>
      </c>
    </row>
    <row r="8" spans="2:7" x14ac:dyDescent="0.2">
      <c r="B8" s="23" t="s">
        <v>10</v>
      </c>
      <c r="C8" s="24">
        <f>SUM(C9:C11)</f>
        <v>4829784</v>
      </c>
      <c r="D8" s="24">
        <f>SUM(D9:D11)</f>
        <v>2504724</v>
      </c>
      <c r="E8" s="24">
        <f>SUM(E9:E11)</f>
        <v>1632060</v>
      </c>
      <c r="F8" s="24">
        <f>SUM(F9:F11)</f>
        <v>693000</v>
      </c>
    </row>
    <row r="9" spans="2:7" x14ac:dyDescent="0.2">
      <c r="B9" s="21" t="s">
        <v>11</v>
      </c>
      <c r="C9" s="22">
        <f t="shared" si="0"/>
        <v>2533124</v>
      </c>
      <c r="D9" s="22">
        <v>1328264</v>
      </c>
      <c r="E9" s="22">
        <v>649860</v>
      </c>
      <c r="F9" s="22">
        <f>185000*3</f>
        <v>555000</v>
      </c>
    </row>
    <row r="10" spans="2:7" x14ac:dyDescent="0.2">
      <c r="B10" s="21" t="s">
        <v>12</v>
      </c>
      <c r="C10" s="22">
        <f t="shared" si="0"/>
        <v>1243714</v>
      </c>
      <c r="D10" s="22">
        <v>569254</v>
      </c>
      <c r="E10" s="22">
        <v>536460</v>
      </c>
      <c r="F10" s="22">
        <f>46000*3</f>
        <v>138000</v>
      </c>
    </row>
    <row r="11" spans="2:7" x14ac:dyDescent="0.2">
      <c r="B11" s="21" t="s">
        <v>13</v>
      </c>
      <c r="C11" s="22">
        <f t="shared" si="0"/>
        <v>1052946</v>
      </c>
      <c r="D11" s="22">
        <v>607206</v>
      </c>
      <c r="E11" s="22">
        <v>445740</v>
      </c>
      <c r="F11" s="22"/>
    </row>
    <row r="12" spans="2:7" x14ac:dyDescent="0.2">
      <c r="B12" s="23" t="s">
        <v>14</v>
      </c>
      <c r="C12" s="24">
        <f>SUM(C13:C15)</f>
        <v>4954977</v>
      </c>
      <c r="D12" s="24">
        <f>SUM(D13:D15)</f>
        <v>1480062</v>
      </c>
      <c r="E12" s="24">
        <f>SUM(E13:E15)</f>
        <v>2762040</v>
      </c>
      <c r="F12" s="24">
        <f>SUM(F13:F15)</f>
        <v>712875</v>
      </c>
    </row>
    <row r="13" spans="2:7" x14ac:dyDescent="0.2">
      <c r="B13" s="21" t="s">
        <v>15</v>
      </c>
      <c r="C13" s="22">
        <f t="shared" si="0"/>
        <v>1585214</v>
      </c>
      <c r="D13" s="22">
        <v>683105</v>
      </c>
      <c r="E13" s="22">
        <v>725400</v>
      </c>
      <c r="F13" s="22">
        <f>58903*3</f>
        <v>176709</v>
      </c>
    </row>
    <row r="14" spans="2:7" x14ac:dyDescent="0.2">
      <c r="B14" s="21" t="s">
        <v>16</v>
      </c>
      <c r="C14" s="22">
        <f t="shared" si="0"/>
        <v>1504222</v>
      </c>
      <c r="D14" s="22">
        <v>455404</v>
      </c>
      <c r="E14" s="22">
        <v>793440</v>
      </c>
      <c r="F14" s="22">
        <f>85126*3</f>
        <v>255378</v>
      </c>
    </row>
    <row r="15" spans="2:7" x14ac:dyDescent="0.2">
      <c r="B15" s="21" t="s">
        <v>17</v>
      </c>
      <c r="C15" s="22">
        <f t="shared" si="0"/>
        <v>1865541</v>
      </c>
      <c r="D15" s="22">
        <v>341553</v>
      </c>
      <c r="E15" s="22">
        <v>1243200</v>
      </c>
      <c r="F15" s="22">
        <v>280788</v>
      </c>
    </row>
    <row r="16" spans="2:7" x14ac:dyDescent="0.2">
      <c r="B16" s="17" t="s">
        <v>18</v>
      </c>
      <c r="C16" s="25" t="e">
        <f>SUM(C17:C23)</f>
        <v>#REF!</v>
      </c>
      <c r="D16" s="25">
        <f>SUM(D17:D23)</f>
        <v>2511892</v>
      </c>
      <c r="E16" s="25">
        <f>SUM(E17:E23)</f>
        <v>4566120</v>
      </c>
      <c r="F16" s="25" t="e">
        <f>SUM(F17:F23)</f>
        <v>#REF!</v>
      </c>
      <c r="G16" s="26"/>
    </row>
    <row r="17" spans="2:7" x14ac:dyDescent="0.2">
      <c r="B17" s="21" t="s">
        <v>19</v>
      </c>
      <c r="C17" s="27">
        <f>SUM(D17:F17)</f>
        <v>912455</v>
      </c>
      <c r="D17" s="27">
        <v>630455</v>
      </c>
      <c r="E17" s="27"/>
      <c r="F17" s="27">
        <f>94000*3</f>
        <v>282000</v>
      </c>
    </row>
    <row r="18" spans="2:7" x14ac:dyDescent="0.2">
      <c r="B18" s="21" t="s">
        <v>20</v>
      </c>
      <c r="C18" s="27" t="e">
        <f t="shared" ref="C18:C23" si="1">SUM(D18:F18)</f>
        <v>#REF!</v>
      </c>
      <c r="D18" s="27"/>
      <c r="E18" s="27"/>
      <c r="F18" s="27" t="e">
        <f>#REF!</f>
        <v>#REF!</v>
      </c>
    </row>
    <row r="19" spans="2:7" x14ac:dyDescent="0.2">
      <c r="B19" s="21" t="s">
        <v>21</v>
      </c>
      <c r="C19" s="27">
        <f t="shared" si="1"/>
        <v>2158868</v>
      </c>
      <c r="D19" s="27">
        <v>626828</v>
      </c>
      <c r="E19" s="27">
        <v>1532040</v>
      </c>
      <c r="F19" s="27"/>
    </row>
    <row r="20" spans="2:7" x14ac:dyDescent="0.2">
      <c r="B20" s="21" t="s">
        <v>22</v>
      </c>
      <c r="C20" s="27">
        <f t="shared" si="1"/>
        <v>1029609</v>
      </c>
      <c r="D20" s="27">
        <v>1029609</v>
      </c>
      <c r="E20" s="27"/>
      <c r="F20" s="27"/>
    </row>
    <row r="21" spans="2:7" x14ac:dyDescent="0.2">
      <c r="B21" s="21" t="s">
        <v>23</v>
      </c>
      <c r="C21" s="27">
        <f t="shared" si="1"/>
        <v>1957140</v>
      </c>
      <c r="D21" s="27">
        <v>225000</v>
      </c>
      <c r="E21" s="27">
        <v>1732140</v>
      </c>
      <c r="F21" s="27"/>
    </row>
    <row r="22" spans="2:7" x14ac:dyDescent="0.2">
      <c r="B22" s="21" t="s">
        <v>24</v>
      </c>
      <c r="C22" s="27">
        <f t="shared" si="1"/>
        <v>1301940</v>
      </c>
      <c r="D22" s="27"/>
      <c r="E22" s="27">
        <v>1301940</v>
      </c>
      <c r="F22" s="27"/>
    </row>
    <row r="23" spans="2:7" x14ac:dyDescent="0.2">
      <c r="B23" s="21" t="s">
        <v>25</v>
      </c>
      <c r="C23" s="27" t="e">
        <f t="shared" si="1"/>
        <v>#REF!</v>
      </c>
      <c r="D23" s="27">
        <v>0</v>
      </c>
      <c r="E23" s="27"/>
      <c r="F23" s="27" t="e">
        <f>#REF!</f>
        <v>#REF!</v>
      </c>
    </row>
    <row r="24" spans="2:7" x14ac:dyDescent="0.2">
      <c r="B24" s="23" t="s">
        <v>26</v>
      </c>
      <c r="C24" s="28" t="e">
        <f>C16+C12+C8+C4</f>
        <v>#REF!</v>
      </c>
      <c r="D24" s="28">
        <f>D16+D12+D8+D4</f>
        <v>8477685</v>
      </c>
      <c r="E24" s="28">
        <f>E16+E12+E8+E4</f>
        <v>10161900</v>
      </c>
      <c r="F24" s="28" t="e">
        <f>F16+F12+F8+F4</f>
        <v>#REF!</v>
      </c>
    </row>
    <row r="25" spans="2:7" x14ac:dyDescent="0.2">
      <c r="B25" s="29" t="s">
        <v>27</v>
      </c>
      <c r="C25" s="30" t="e">
        <f>C24*0.07</f>
        <v>#REF!</v>
      </c>
      <c r="D25" s="30">
        <f>D24*0.07</f>
        <v>593437.95000000007</v>
      </c>
      <c r="E25" s="30">
        <f>E24*0.07</f>
        <v>711333.00000000012</v>
      </c>
      <c r="F25" s="30" t="e">
        <f>F24*0.07</f>
        <v>#REF!</v>
      </c>
    </row>
    <row r="26" spans="2:7" x14ac:dyDescent="0.2">
      <c r="B26" s="96" t="s">
        <v>28</v>
      </c>
      <c r="C26" s="97" t="e">
        <f>SUM(C24:C25)</f>
        <v>#REF!</v>
      </c>
      <c r="D26" s="97">
        <f>SUM(D24:D25)</f>
        <v>9071122.9499999993</v>
      </c>
      <c r="E26" s="97">
        <f>SUM(E24:E25)</f>
        <v>10873233</v>
      </c>
      <c r="F26" s="97" t="e">
        <f>SUM(F24:F25)</f>
        <v>#REF!</v>
      </c>
    </row>
    <row r="27" spans="2:7" x14ac:dyDescent="0.2">
      <c r="C27" s="31"/>
      <c r="D27" s="32"/>
    </row>
    <row r="28" spans="2:7" x14ac:dyDescent="0.2">
      <c r="C28" s="33"/>
      <c r="D28" s="26"/>
      <c r="E28" s="34"/>
      <c r="F28" s="34"/>
      <c r="G28" s="35"/>
    </row>
    <row r="29" spans="2:7" x14ac:dyDescent="0.2">
      <c r="C29" s="31"/>
      <c r="D29" s="26"/>
    </row>
    <row r="30" spans="2:7" x14ac:dyDescent="0.2">
      <c r="C30" s="26"/>
    </row>
    <row r="31" spans="2:7" x14ac:dyDescent="0.2">
      <c r="E31" s="26"/>
    </row>
  </sheetData>
  <pageMargins left="0.7" right="0.7" top="0.75" bottom="0.75" header="0.3" footer="0.3"/>
  <pageSetup paperSize="9" scale="7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L123"/>
  <sheetViews>
    <sheetView showGridLines="0" topLeftCell="A34" zoomScale="125" zoomScaleNormal="125" zoomScalePageLayoutView="125" workbookViewId="0">
      <selection activeCell="C71" sqref="C71"/>
    </sheetView>
  </sheetViews>
  <sheetFormatPr baseColWidth="10" defaultColWidth="9.1640625" defaultRowHeight="12" x14ac:dyDescent="0.15"/>
  <cols>
    <col min="1" max="1" width="1.1640625" style="159" customWidth="1"/>
    <col min="2" max="2" width="49.6640625" style="182" customWidth="1"/>
    <col min="3" max="3" width="45.6640625" style="182" customWidth="1"/>
    <col min="4" max="4" width="13.5" style="182" customWidth="1"/>
    <col min="5" max="5" width="27.1640625" style="183" customWidth="1"/>
    <col min="6" max="6" width="15.5" style="182" customWidth="1"/>
    <col min="7" max="7" width="29.5" style="159" customWidth="1"/>
    <col min="8" max="16384" width="9.1640625" style="159"/>
  </cols>
  <sheetData>
    <row r="3" spans="2:6" x14ac:dyDescent="0.15">
      <c r="B3" s="132" t="s">
        <v>139</v>
      </c>
      <c r="C3" s="132"/>
      <c r="D3" s="132"/>
      <c r="E3" s="146"/>
      <c r="F3" s="133"/>
    </row>
    <row r="4" spans="2:6" ht="31.5" customHeight="1" x14ac:dyDescent="0.15">
      <c r="B4" s="623" t="s">
        <v>185</v>
      </c>
      <c r="C4" s="623"/>
      <c r="D4" s="623"/>
      <c r="E4" s="623"/>
      <c r="F4" s="623"/>
    </row>
    <row r="5" spans="2:6" ht="27.75" customHeight="1" x14ac:dyDescent="0.15">
      <c r="B5" s="640" t="s">
        <v>106</v>
      </c>
      <c r="C5" s="640" t="s">
        <v>107</v>
      </c>
      <c r="D5" s="640" t="s">
        <v>108</v>
      </c>
      <c r="E5" s="642" t="s">
        <v>109</v>
      </c>
      <c r="F5" s="642"/>
    </row>
    <row r="6" spans="2:6" x14ac:dyDescent="0.15">
      <c r="B6" s="641"/>
      <c r="C6" s="641"/>
      <c r="D6" s="641"/>
      <c r="E6" s="467" t="s">
        <v>62</v>
      </c>
      <c r="F6" s="467" t="s">
        <v>110</v>
      </c>
    </row>
    <row r="7" spans="2:6" ht="25.5" customHeight="1" x14ac:dyDescent="0.15">
      <c r="B7" s="660" t="s">
        <v>140</v>
      </c>
      <c r="C7" s="125" t="s">
        <v>150</v>
      </c>
      <c r="D7" s="643" t="s">
        <v>2</v>
      </c>
      <c r="E7" s="158" t="s">
        <v>63</v>
      </c>
      <c r="F7" s="417">
        <v>137608.49311119973</v>
      </c>
    </row>
    <row r="8" spans="2:6" ht="24" x14ac:dyDescent="0.15">
      <c r="B8" s="660"/>
      <c r="C8" s="125" t="s">
        <v>151</v>
      </c>
      <c r="D8" s="644"/>
      <c r="E8" s="158" t="s">
        <v>123</v>
      </c>
      <c r="F8" s="417">
        <v>15929.598376038031</v>
      </c>
    </row>
    <row r="9" spans="2:6" ht="31" customHeight="1" x14ac:dyDescent="0.15">
      <c r="B9" s="660"/>
      <c r="C9" s="150" t="s">
        <v>152</v>
      </c>
      <c r="D9" s="644"/>
      <c r="E9" s="158" t="s">
        <v>69</v>
      </c>
      <c r="F9" s="417">
        <v>8383.4690688936498</v>
      </c>
    </row>
    <row r="10" spans="2:6" x14ac:dyDescent="0.15">
      <c r="B10" s="288" t="s">
        <v>182</v>
      </c>
      <c r="C10" s="288"/>
      <c r="D10" s="288"/>
      <c r="E10" s="288"/>
      <c r="F10" s="446">
        <f>SUM(F7:F9)</f>
        <v>161921.56055613139</v>
      </c>
    </row>
    <row r="11" spans="2:6" ht="40.5" customHeight="1" x14ac:dyDescent="0.15">
      <c r="B11" s="620" t="s">
        <v>242</v>
      </c>
      <c r="C11" s="621"/>
      <c r="D11" s="621"/>
      <c r="E11" s="621"/>
      <c r="F11" s="622"/>
    </row>
    <row r="12" spans="2:6" ht="27.75" customHeight="1" x14ac:dyDescent="0.15">
      <c r="B12" s="640" t="s">
        <v>106</v>
      </c>
      <c r="C12" s="640" t="s">
        <v>107</v>
      </c>
      <c r="D12" s="640" t="s">
        <v>108</v>
      </c>
      <c r="E12" s="642" t="s">
        <v>109</v>
      </c>
      <c r="F12" s="642"/>
    </row>
    <row r="13" spans="2:6" ht="18.75" customHeight="1" x14ac:dyDescent="0.15">
      <c r="B13" s="641"/>
      <c r="C13" s="641"/>
      <c r="D13" s="641"/>
      <c r="E13" s="467" t="s">
        <v>62</v>
      </c>
      <c r="F13" s="467" t="s">
        <v>110</v>
      </c>
    </row>
    <row r="14" spans="2:6" ht="36" x14ac:dyDescent="0.15">
      <c r="B14" s="614" t="s">
        <v>142</v>
      </c>
      <c r="C14" s="160" t="s">
        <v>153</v>
      </c>
      <c r="D14" s="617" t="s">
        <v>71</v>
      </c>
      <c r="E14" s="126" t="s">
        <v>63</v>
      </c>
      <c r="F14" s="418">
        <v>150665.79999999999</v>
      </c>
    </row>
    <row r="15" spans="2:6" ht="14.5" customHeight="1" x14ac:dyDescent="0.15">
      <c r="B15" s="615"/>
      <c r="C15" s="657" t="s">
        <v>154</v>
      </c>
      <c r="D15" s="618"/>
      <c r="E15" s="598" t="s">
        <v>123</v>
      </c>
      <c r="F15" s="654">
        <v>11754.6</v>
      </c>
    </row>
    <row r="16" spans="2:6" x14ac:dyDescent="0.15">
      <c r="B16" s="615"/>
      <c r="C16" s="658"/>
      <c r="D16" s="618"/>
      <c r="E16" s="599"/>
      <c r="F16" s="655"/>
    </row>
    <row r="17" spans="2:12" ht="36" customHeight="1" x14ac:dyDescent="0.15">
      <c r="B17" s="616"/>
      <c r="C17" s="659"/>
      <c r="D17" s="618"/>
      <c r="E17" s="126" t="s">
        <v>69</v>
      </c>
      <c r="F17" s="434">
        <v>7009.3450000000003</v>
      </c>
    </row>
    <row r="18" spans="2:12" x14ac:dyDescent="0.15">
      <c r="B18" s="230" t="s">
        <v>144</v>
      </c>
      <c r="C18" s="230"/>
      <c r="D18" s="230"/>
      <c r="E18" s="230"/>
      <c r="F18" s="447">
        <f>SUM(F14:F17)</f>
        <v>169429.745</v>
      </c>
    </row>
    <row r="19" spans="2:12" ht="24" x14ac:dyDescent="0.15">
      <c r="B19" s="591" t="s">
        <v>143</v>
      </c>
      <c r="C19" s="591" t="s">
        <v>155</v>
      </c>
      <c r="D19" s="643" t="s">
        <v>2</v>
      </c>
      <c r="E19" s="158" t="s">
        <v>63</v>
      </c>
      <c r="F19" s="417">
        <v>34402.123277799932</v>
      </c>
    </row>
    <row r="20" spans="2:12" x14ac:dyDescent="0.15">
      <c r="B20" s="592"/>
      <c r="C20" s="592"/>
      <c r="D20" s="644"/>
      <c r="E20" s="158" t="s">
        <v>123</v>
      </c>
      <c r="F20" s="417">
        <v>3982.3995940095078</v>
      </c>
    </row>
    <row r="21" spans="2:12" ht="24" x14ac:dyDescent="0.15">
      <c r="B21" s="592"/>
      <c r="C21" s="652"/>
      <c r="D21" s="644"/>
      <c r="E21" s="158" t="s">
        <v>69</v>
      </c>
      <c r="F21" s="417">
        <v>2095.8672672234125</v>
      </c>
    </row>
    <row r="22" spans="2:12" x14ac:dyDescent="0.15">
      <c r="B22" s="230" t="s">
        <v>144</v>
      </c>
      <c r="C22" s="230"/>
      <c r="D22" s="230"/>
      <c r="E22" s="230"/>
      <c r="F22" s="447">
        <f>SUM(F19:F21)</f>
        <v>40480.390139032846</v>
      </c>
    </row>
    <row r="23" spans="2:12" ht="36" x14ac:dyDescent="0.15">
      <c r="B23" s="614" t="s">
        <v>145</v>
      </c>
      <c r="C23" s="162" t="s">
        <v>156</v>
      </c>
      <c r="D23" s="617" t="s">
        <v>71</v>
      </c>
      <c r="E23" s="126" t="s">
        <v>63</v>
      </c>
      <c r="F23" s="418">
        <v>150665.79999999999</v>
      </c>
    </row>
    <row r="24" spans="2:12" x14ac:dyDescent="0.15">
      <c r="B24" s="615"/>
      <c r="C24" s="656" t="s">
        <v>157</v>
      </c>
      <c r="D24" s="618"/>
      <c r="E24" s="126" t="s">
        <v>123</v>
      </c>
      <c r="F24" s="418">
        <v>11754.6</v>
      </c>
    </row>
    <row r="25" spans="2:12" ht="53" customHeight="1" x14ac:dyDescent="0.15">
      <c r="B25" s="616"/>
      <c r="C25" s="656"/>
      <c r="D25" s="618"/>
      <c r="E25" s="126" t="s">
        <v>69</v>
      </c>
      <c r="F25" s="434">
        <f>14018.69/2</f>
        <v>7009.3450000000003</v>
      </c>
    </row>
    <row r="26" spans="2:12" x14ac:dyDescent="0.15">
      <c r="B26" s="230" t="s">
        <v>144</v>
      </c>
      <c r="C26" s="230"/>
      <c r="D26" s="230"/>
      <c r="E26" s="230"/>
      <c r="F26" s="447">
        <f>SUM(F23:F25)</f>
        <v>169429.745</v>
      </c>
      <c r="G26" s="163"/>
    </row>
    <row r="27" spans="2:12" ht="33" customHeight="1" x14ac:dyDescent="0.15">
      <c r="B27" s="649" t="s">
        <v>357</v>
      </c>
      <c r="C27" s="653" t="s">
        <v>158</v>
      </c>
      <c r="D27" s="646" t="s">
        <v>72</v>
      </c>
      <c r="E27" s="116" t="s">
        <v>63</v>
      </c>
      <c r="F27" s="448">
        <f>65000-17650</f>
        <v>47350</v>
      </c>
    </row>
    <row r="28" spans="2:12" x14ac:dyDescent="0.15">
      <c r="B28" s="650"/>
      <c r="C28" s="653"/>
      <c r="D28" s="647"/>
      <c r="E28" s="116" t="s">
        <v>123</v>
      </c>
      <c r="F28" s="448">
        <v>6000</v>
      </c>
      <c r="H28" s="164"/>
      <c r="I28" s="164"/>
      <c r="J28" s="164"/>
      <c r="K28" s="164"/>
      <c r="L28" s="164"/>
    </row>
    <row r="29" spans="2:12" ht="24" x14ac:dyDescent="0.15">
      <c r="B29" s="651"/>
      <c r="C29" s="143" t="s">
        <v>356</v>
      </c>
      <c r="D29" s="648"/>
      <c r="E29" s="116" t="s">
        <v>69</v>
      </c>
      <c r="F29" s="448">
        <v>5000</v>
      </c>
      <c r="H29" s="164"/>
      <c r="I29" s="164"/>
      <c r="J29" s="164"/>
      <c r="K29" s="164"/>
      <c r="L29" s="164"/>
    </row>
    <row r="30" spans="2:12" x14ac:dyDescent="0.15">
      <c r="B30" s="230" t="s">
        <v>144</v>
      </c>
      <c r="C30" s="230"/>
      <c r="D30" s="230"/>
      <c r="E30" s="230"/>
      <c r="F30" s="447">
        <f>SUM(F27:F29)</f>
        <v>58350</v>
      </c>
      <c r="H30" s="164"/>
      <c r="I30" s="164"/>
      <c r="J30" s="164"/>
      <c r="K30" s="164"/>
      <c r="L30" s="164"/>
    </row>
    <row r="31" spans="2:12" ht="48" x14ac:dyDescent="0.15">
      <c r="B31" s="649" t="s">
        <v>146</v>
      </c>
      <c r="C31" s="143" t="s">
        <v>159</v>
      </c>
      <c r="D31" s="646" t="s">
        <v>72</v>
      </c>
      <c r="E31" s="116" t="s">
        <v>63</v>
      </c>
      <c r="F31" s="449">
        <f>65000-17350</f>
        <v>47650</v>
      </c>
      <c r="H31" s="164"/>
      <c r="I31" s="164"/>
      <c r="J31" s="164"/>
      <c r="K31" s="164"/>
      <c r="L31" s="164"/>
    </row>
    <row r="32" spans="2:12" ht="24" x14ac:dyDescent="0.15">
      <c r="B32" s="650"/>
      <c r="C32" s="143" t="s">
        <v>160</v>
      </c>
      <c r="D32" s="647"/>
      <c r="E32" s="153" t="s">
        <v>123</v>
      </c>
      <c r="F32" s="449">
        <v>18000</v>
      </c>
      <c r="H32" s="164"/>
      <c r="I32" s="164"/>
      <c r="J32" s="164"/>
      <c r="K32" s="164"/>
      <c r="L32" s="164"/>
    </row>
    <row r="33" spans="2:12" ht="52" customHeight="1" x14ac:dyDescent="0.15">
      <c r="B33" s="651"/>
      <c r="C33" s="143" t="s">
        <v>161</v>
      </c>
      <c r="D33" s="648"/>
      <c r="E33" s="116" t="s">
        <v>69</v>
      </c>
      <c r="F33" s="448">
        <v>5000</v>
      </c>
      <c r="H33" s="164"/>
      <c r="I33" s="164"/>
      <c r="J33" s="164"/>
      <c r="K33" s="164"/>
      <c r="L33" s="164"/>
    </row>
    <row r="34" spans="2:12" x14ac:dyDescent="0.15">
      <c r="B34" s="230" t="s">
        <v>144</v>
      </c>
      <c r="C34" s="230"/>
      <c r="D34" s="230"/>
      <c r="E34" s="230"/>
      <c r="F34" s="447">
        <f>SUM(F31:F33)</f>
        <v>70650</v>
      </c>
    </row>
    <row r="35" spans="2:12" x14ac:dyDescent="0.15">
      <c r="B35" s="165" t="s">
        <v>182</v>
      </c>
      <c r="C35" s="140"/>
      <c r="D35" s="140"/>
      <c r="E35" s="141"/>
      <c r="F35" s="484">
        <f>F18+F22+F26+F30+F34</f>
        <v>508339.88013903284</v>
      </c>
    </row>
    <row r="36" spans="2:12" x14ac:dyDescent="0.15">
      <c r="B36" s="166" t="s">
        <v>77</v>
      </c>
      <c r="C36" s="166"/>
      <c r="D36" s="166"/>
      <c r="E36" s="167"/>
      <c r="F36" s="450">
        <f>F35+F10</f>
        <v>670261.44069516426</v>
      </c>
      <c r="G36" s="168"/>
    </row>
    <row r="37" spans="2:12" x14ac:dyDescent="0.15">
      <c r="B37" s="169" t="s">
        <v>118</v>
      </c>
      <c r="C37" s="169"/>
      <c r="D37" s="169"/>
      <c r="E37" s="170"/>
      <c r="F37" s="436">
        <f>0.07*F36</f>
        <v>46918.3008486615</v>
      </c>
      <c r="G37" s="168"/>
    </row>
    <row r="38" spans="2:12" x14ac:dyDescent="0.15">
      <c r="B38" s="172" t="s">
        <v>149</v>
      </c>
      <c r="C38" s="166"/>
      <c r="D38" s="166"/>
      <c r="E38" s="167"/>
      <c r="F38" s="450">
        <f>SUM(F36:F37)</f>
        <v>717179.74154382572</v>
      </c>
      <c r="G38" s="168"/>
    </row>
    <row r="39" spans="2:12" x14ac:dyDescent="0.15">
      <c r="F39" s="442"/>
    </row>
    <row r="40" spans="2:12" x14ac:dyDescent="0.15">
      <c r="B40" s="173" t="s">
        <v>120</v>
      </c>
      <c r="C40" s="173" t="s">
        <v>2</v>
      </c>
      <c r="D40" s="173" t="s">
        <v>71</v>
      </c>
      <c r="E40" s="174" t="s">
        <v>72</v>
      </c>
      <c r="F40" s="451" t="s">
        <v>1</v>
      </c>
    </row>
    <row r="41" spans="2:12" x14ac:dyDescent="0.15">
      <c r="B41" s="135" t="s">
        <v>63</v>
      </c>
      <c r="C41" s="433">
        <f>F7+F19</f>
        <v>172010.61638899965</v>
      </c>
      <c r="D41" s="434">
        <f>F14+F23</f>
        <v>301331.59999999998</v>
      </c>
      <c r="E41" s="453">
        <f>F27+F31</f>
        <v>95000</v>
      </c>
      <c r="F41" s="436">
        <f>SUM(C41:E41)</f>
        <v>568342.2163889996</v>
      </c>
    </row>
    <row r="42" spans="2:12" x14ac:dyDescent="0.15">
      <c r="B42" s="135" t="s">
        <v>123</v>
      </c>
      <c r="C42" s="433">
        <f>F8+F20</f>
        <v>19911.997970047538</v>
      </c>
      <c r="D42" s="434">
        <f>F15+F24</f>
        <v>23509.200000000001</v>
      </c>
      <c r="E42" s="453">
        <f>F28+F32</f>
        <v>24000</v>
      </c>
      <c r="F42" s="436">
        <f>SUM(C42:E42)</f>
        <v>67421.197970047535</v>
      </c>
    </row>
    <row r="43" spans="2:12" x14ac:dyDescent="0.15">
      <c r="B43" s="136" t="s">
        <v>69</v>
      </c>
      <c r="C43" s="433">
        <f>F9+F21</f>
        <v>10479.336336117063</v>
      </c>
      <c r="D43" s="434">
        <f>F17+F25</f>
        <v>14018.69</v>
      </c>
      <c r="E43" s="453">
        <f>F29+F33</f>
        <v>10000</v>
      </c>
      <c r="F43" s="436">
        <f>SUM(C43:E43)</f>
        <v>34498.026336117066</v>
      </c>
    </row>
    <row r="44" spans="2:12" x14ac:dyDescent="0.15">
      <c r="B44" s="179" t="s">
        <v>77</v>
      </c>
      <c r="C44" s="437">
        <f>SUM(C41:C43)</f>
        <v>202401.95069516427</v>
      </c>
      <c r="D44" s="437">
        <f>SUM(D41:D43)</f>
        <v>338859.49</v>
      </c>
      <c r="E44" s="454">
        <f>SUM(E41:E43)</f>
        <v>129000</v>
      </c>
      <c r="F44" s="437">
        <f>SUM(F41:F43)</f>
        <v>670261.44069516414</v>
      </c>
      <c r="G44" s="290">
        <f>C67+C78</f>
        <v>670261.44069516426</v>
      </c>
    </row>
    <row r="45" spans="2:12" x14ac:dyDescent="0.15">
      <c r="B45" s="169" t="s">
        <v>121</v>
      </c>
      <c r="C45" s="436">
        <f>0.07*C44</f>
        <v>14168.1365486615</v>
      </c>
      <c r="D45" s="436">
        <f>0.07*D44</f>
        <v>23720.1643</v>
      </c>
      <c r="E45" s="455">
        <f>0.07*E44</f>
        <v>9030</v>
      </c>
      <c r="F45" s="436">
        <f>0.07*F44</f>
        <v>46918.300848661493</v>
      </c>
    </row>
    <row r="46" spans="2:12" x14ac:dyDescent="0.15">
      <c r="B46" s="289" t="s">
        <v>1</v>
      </c>
      <c r="C46" s="452">
        <f>SUM(C44:C45)</f>
        <v>216570.08724382578</v>
      </c>
      <c r="D46" s="452">
        <f>SUM(D44:D45)</f>
        <v>362579.65429999999</v>
      </c>
      <c r="E46" s="456">
        <f>SUM(E44:E45)</f>
        <v>138030</v>
      </c>
      <c r="F46" s="452">
        <f>SUM(F44:F45)</f>
        <v>717179.7415438256</v>
      </c>
    </row>
    <row r="47" spans="2:12" ht="13.5" customHeight="1" x14ac:dyDescent="0.15">
      <c r="C47" s="442"/>
      <c r="D47" s="442"/>
      <c r="E47" s="457"/>
      <c r="F47" s="442"/>
    </row>
    <row r="48" spans="2:12" hidden="1" x14ac:dyDescent="0.15">
      <c r="B48" s="184" t="s">
        <v>340</v>
      </c>
      <c r="C48" s="442"/>
      <c r="D48" s="442"/>
      <c r="E48" s="457"/>
      <c r="F48" s="442"/>
    </row>
    <row r="49" spans="2:6" hidden="1" x14ac:dyDescent="0.15">
      <c r="B49" s="173" t="s">
        <v>120</v>
      </c>
      <c r="C49" s="451" t="s">
        <v>2</v>
      </c>
      <c r="D49" s="451" t="s">
        <v>71</v>
      </c>
      <c r="E49" s="458" t="s">
        <v>72</v>
      </c>
      <c r="F49" s="451" t="s">
        <v>1</v>
      </c>
    </row>
    <row r="50" spans="2:6" hidden="1" x14ac:dyDescent="0.15">
      <c r="B50" s="135" t="s">
        <v>63</v>
      </c>
      <c r="C50" s="436">
        <f>F19</f>
        <v>34402.123277799932</v>
      </c>
      <c r="D50" s="436">
        <f t="shared" ref="D50:E52" si="0">D41</f>
        <v>301331.59999999998</v>
      </c>
      <c r="E50" s="455">
        <f t="shared" si="0"/>
        <v>95000</v>
      </c>
      <c r="F50" s="436">
        <f>SUM(C50:E50)</f>
        <v>430733.7232777999</v>
      </c>
    </row>
    <row r="51" spans="2:6" hidden="1" x14ac:dyDescent="0.15">
      <c r="B51" s="135" t="s">
        <v>123</v>
      </c>
      <c r="C51" s="436">
        <f>F20</f>
        <v>3982.3995940095078</v>
      </c>
      <c r="D51" s="436">
        <f t="shared" si="0"/>
        <v>23509.200000000001</v>
      </c>
      <c r="E51" s="455">
        <f t="shared" si="0"/>
        <v>24000</v>
      </c>
      <c r="F51" s="436">
        <f>SUM(C51:E51)</f>
        <v>51491.599594009509</v>
      </c>
    </row>
    <row r="52" spans="2:6" hidden="1" x14ac:dyDescent="0.15">
      <c r="B52" s="136" t="s">
        <v>69</v>
      </c>
      <c r="C52" s="436">
        <f>F21</f>
        <v>2095.8672672234125</v>
      </c>
      <c r="D52" s="436">
        <f t="shared" si="0"/>
        <v>14018.69</v>
      </c>
      <c r="E52" s="455">
        <f t="shared" si="0"/>
        <v>10000</v>
      </c>
      <c r="F52" s="436">
        <f>SUM(C52:E52)</f>
        <v>26114.557267223412</v>
      </c>
    </row>
    <row r="53" spans="2:6" hidden="1" x14ac:dyDescent="0.15">
      <c r="B53" s="289" t="s">
        <v>77</v>
      </c>
      <c r="C53" s="436">
        <f>SUM(C50:C52)</f>
        <v>40480.390139032846</v>
      </c>
      <c r="D53" s="436">
        <f>SUM(D50:D52)</f>
        <v>338859.49</v>
      </c>
      <c r="E53" s="455">
        <f>SUM(E50:E52)</f>
        <v>129000</v>
      </c>
      <c r="F53" s="436">
        <f>SUM(F50:F52)</f>
        <v>508339.88013903284</v>
      </c>
    </row>
    <row r="54" spans="2:6" hidden="1" x14ac:dyDescent="0.15">
      <c r="B54" s="169" t="s">
        <v>121</v>
      </c>
      <c r="C54" s="436">
        <f>0.07*C53</f>
        <v>2833.6273097322996</v>
      </c>
      <c r="D54" s="436">
        <f>0.07*D53</f>
        <v>23720.1643</v>
      </c>
      <c r="E54" s="455">
        <f>0.07*E53</f>
        <v>9030</v>
      </c>
      <c r="F54" s="436">
        <f>0.07*F53</f>
        <v>35583.791609732303</v>
      </c>
    </row>
    <row r="55" spans="2:6" hidden="1" x14ac:dyDescent="0.15">
      <c r="B55" s="185" t="s">
        <v>1</v>
      </c>
      <c r="C55" s="441">
        <f>SUM(C53:C54)</f>
        <v>43314.017448765146</v>
      </c>
      <c r="D55" s="441">
        <f>SUM(D53:D54)</f>
        <v>362579.65429999999</v>
      </c>
      <c r="E55" s="459">
        <f>SUM(E53:E54)</f>
        <v>138030</v>
      </c>
      <c r="F55" s="441">
        <f>SUM(F53:F54)</f>
        <v>543923.67174876516</v>
      </c>
    </row>
    <row r="56" spans="2:6" ht="13" thickBot="1" x14ac:dyDescent="0.2">
      <c r="B56" s="187" t="s">
        <v>122</v>
      </c>
      <c r="C56" s="443">
        <f>'Comparaison 2020 '!F6</f>
        <v>202402</v>
      </c>
      <c r="D56" s="443">
        <f>'Comparaison 2020 '!G6</f>
        <v>338860</v>
      </c>
      <c r="E56" s="460">
        <f>'Comparaison 2020 '!H6</f>
        <v>95000</v>
      </c>
      <c r="F56" s="443">
        <f>SUM(C56:E56)</f>
        <v>636262</v>
      </c>
    </row>
    <row r="57" spans="2:6" ht="13" thickTop="1" x14ac:dyDescent="0.15"/>
    <row r="58" spans="2:6" ht="25.5" customHeight="1" x14ac:dyDescent="0.15">
      <c r="B58" s="623" t="s">
        <v>187</v>
      </c>
      <c r="C58" s="623"/>
      <c r="D58" s="623"/>
      <c r="E58" s="623"/>
      <c r="F58" s="623"/>
    </row>
    <row r="59" spans="2:6" x14ac:dyDescent="0.15">
      <c r="B59" s="190" t="s">
        <v>62</v>
      </c>
      <c r="C59" s="191" t="s">
        <v>59</v>
      </c>
      <c r="D59" s="192" t="s">
        <v>2</v>
      </c>
      <c r="E59" s="193" t="s">
        <v>71</v>
      </c>
      <c r="F59" s="192" t="s">
        <v>72</v>
      </c>
    </row>
    <row r="60" spans="2:6" x14ac:dyDescent="0.15">
      <c r="B60" s="169" t="s">
        <v>63</v>
      </c>
      <c r="C60" s="444">
        <f>D60+E60+F60</f>
        <v>137608.49311119973</v>
      </c>
      <c r="D60" s="433">
        <f>+F7</f>
        <v>137608.49311119973</v>
      </c>
      <c r="E60" s="196"/>
      <c r="F60" s="197"/>
    </row>
    <row r="61" spans="2:6" x14ac:dyDescent="0.15">
      <c r="B61" s="169" t="s">
        <v>64</v>
      </c>
      <c r="C61" s="444">
        <f t="shared" ref="C61:C66" si="1">D61+E61+F61</f>
        <v>0</v>
      </c>
      <c r="D61" s="433"/>
      <c r="E61" s="196"/>
      <c r="F61" s="197"/>
    </row>
    <row r="62" spans="2:6" x14ac:dyDescent="0.15">
      <c r="B62" s="170" t="s">
        <v>65</v>
      </c>
      <c r="C62" s="444">
        <f t="shared" si="1"/>
        <v>0</v>
      </c>
      <c r="D62" s="433"/>
      <c r="E62" s="196"/>
      <c r="F62" s="197"/>
    </row>
    <row r="63" spans="2:6" x14ac:dyDescent="0.15">
      <c r="B63" s="169" t="s">
        <v>66</v>
      </c>
      <c r="C63" s="444">
        <f t="shared" si="1"/>
        <v>0</v>
      </c>
      <c r="D63" s="433"/>
      <c r="E63" s="196"/>
      <c r="F63" s="197"/>
    </row>
    <row r="64" spans="2:6" x14ac:dyDescent="0.15">
      <c r="B64" s="169" t="s">
        <v>123</v>
      </c>
      <c r="C64" s="444">
        <f t="shared" si="1"/>
        <v>15929.598376038031</v>
      </c>
      <c r="D64" s="433">
        <f>+F8</f>
        <v>15929.598376038031</v>
      </c>
      <c r="E64" s="196"/>
      <c r="F64" s="197"/>
    </row>
    <row r="65" spans="2:6" x14ac:dyDescent="0.15">
      <c r="B65" s="170" t="s">
        <v>68</v>
      </c>
      <c r="C65" s="444">
        <f t="shared" si="1"/>
        <v>0</v>
      </c>
      <c r="D65" s="433"/>
      <c r="E65" s="196"/>
      <c r="F65" s="197"/>
    </row>
    <row r="66" spans="2:6" x14ac:dyDescent="0.15">
      <c r="B66" s="170" t="s">
        <v>69</v>
      </c>
      <c r="C66" s="444">
        <f t="shared" si="1"/>
        <v>8383.4690688936498</v>
      </c>
      <c r="D66" s="433">
        <f>+F9</f>
        <v>8383.4690688936498</v>
      </c>
      <c r="E66" s="196"/>
      <c r="F66" s="197"/>
    </row>
    <row r="67" spans="2:6" x14ac:dyDescent="0.15">
      <c r="B67" s="134" t="s">
        <v>74</v>
      </c>
      <c r="C67" s="445">
        <f>SUM(C60:C66)</f>
        <v>161921.56055613139</v>
      </c>
      <c r="D67" s="445">
        <f>SUM(D60:D66)</f>
        <v>161921.56055613139</v>
      </c>
      <c r="E67" s="199">
        <f>SUM(E60:E66)</f>
        <v>0</v>
      </c>
      <c r="F67" s="198">
        <f>SUM(F60:F66)</f>
        <v>0</v>
      </c>
    </row>
    <row r="69" spans="2:6" ht="26.25" customHeight="1" x14ac:dyDescent="0.15">
      <c r="B69" s="620" t="s">
        <v>124</v>
      </c>
      <c r="C69" s="621"/>
      <c r="D69" s="621"/>
      <c r="E69" s="621"/>
      <c r="F69" s="622"/>
    </row>
    <row r="70" spans="2:6" x14ac:dyDescent="0.15">
      <c r="B70" s="190" t="s">
        <v>62</v>
      </c>
      <c r="C70" s="191" t="s">
        <v>59</v>
      </c>
      <c r="D70" s="192" t="s">
        <v>2</v>
      </c>
      <c r="E70" s="193" t="s">
        <v>71</v>
      </c>
      <c r="F70" s="192" t="s">
        <v>72</v>
      </c>
    </row>
    <row r="71" spans="2:6" x14ac:dyDescent="0.15">
      <c r="B71" s="169" t="s">
        <v>63</v>
      </c>
      <c r="C71" s="444">
        <f>D71+E71+F71</f>
        <v>430733.7232777999</v>
      </c>
      <c r="D71" s="433">
        <f>+F19</f>
        <v>34402.123277799932</v>
      </c>
      <c r="E71" s="461">
        <f>+F14+F23</f>
        <v>301331.59999999998</v>
      </c>
      <c r="F71" s="435">
        <f>+F27+F31</f>
        <v>95000</v>
      </c>
    </row>
    <row r="72" spans="2:6" x14ac:dyDescent="0.15">
      <c r="B72" s="169" t="s">
        <v>64</v>
      </c>
      <c r="C72" s="444">
        <f t="shared" ref="C72:C77" si="2">D72+E72+F72</f>
        <v>0</v>
      </c>
      <c r="D72" s="433"/>
      <c r="E72" s="461"/>
      <c r="F72" s="435"/>
    </row>
    <row r="73" spans="2:6" x14ac:dyDescent="0.15">
      <c r="B73" s="170" t="s">
        <v>65</v>
      </c>
      <c r="C73" s="444">
        <f t="shared" si="2"/>
        <v>0</v>
      </c>
      <c r="D73" s="433"/>
      <c r="E73" s="461"/>
      <c r="F73" s="435"/>
    </row>
    <row r="74" spans="2:6" x14ac:dyDescent="0.15">
      <c r="B74" s="169" t="s">
        <v>66</v>
      </c>
      <c r="C74" s="444">
        <f t="shared" si="2"/>
        <v>0</v>
      </c>
      <c r="D74" s="433"/>
      <c r="E74" s="461"/>
      <c r="F74" s="435"/>
    </row>
    <row r="75" spans="2:6" x14ac:dyDescent="0.15">
      <c r="B75" s="169" t="s">
        <v>123</v>
      </c>
      <c r="C75" s="444">
        <f t="shared" si="2"/>
        <v>51491.599594009509</v>
      </c>
      <c r="D75" s="433">
        <f>+F20</f>
        <v>3982.3995940095078</v>
      </c>
      <c r="E75" s="461">
        <f>+F15+F24</f>
        <v>23509.200000000001</v>
      </c>
      <c r="F75" s="435">
        <f>+F28+F32</f>
        <v>24000</v>
      </c>
    </row>
    <row r="76" spans="2:6" x14ac:dyDescent="0.15">
      <c r="B76" s="170" t="s">
        <v>68</v>
      </c>
      <c r="C76" s="444">
        <f t="shared" si="2"/>
        <v>0</v>
      </c>
      <c r="D76" s="433"/>
      <c r="E76" s="461"/>
      <c r="F76" s="435"/>
    </row>
    <row r="77" spans="2:6" x14ac:dyDescent="0.15">
      <c r="B77" s="170" t="s">
        <v>69</v>
      </c>
      <c r="C77" s="444">
        <f t="shared" si="2"/>
        <v>26114.557267223412</v>
      </c>
      <c r="D77" s="433">
        <f>+F21</f>
        <v>2095.8672672234125</v>
      </c>
      <c r="E77" s="461">
        <f>+F25+F17</f>
        <v>14018.69</v>
      </c>
      <c r="F77" s="435">
        <f>F29+F33</f>
        <v>10000</v>
      </c>
    </row>
    <row r="78" spans="2:6" x14ac:dyDescent="0.15">
      <c r="B78" s="134" t="s">
        <v>74</v>
      </c>
      <c r="C78" s="445">
        <f>SUM(C71:C77)</f>
        <v>508339.88013903284</v>
      </c>
      <c r="D78" s="445">
        <f>SUM(D71:D77)</f>
        <v>40480.390139032846</v>
      </c>
      <c r="E78" s="462">
        <f>SUM(E71:E77)</f>
        <v>338859.49</v>
      </c>
      <c r="F78" s="445">
        <f>SUM(F71:F77)</f>
        <v>129000</v>
      </c>
    </row>
    <row r="119" spans="2:6" x14ac:dyDescent="0.15">
      <c r="B119" s="200"/>
    </row>
    <row r="120" spans="2:6" x14ac:dyDescent="0.15">
      <c r="B120" s="200"/>
    </row>
    <row r="121" spans="2:6" x14ac:dyDescent="0.15">
      <c r="B121" s="200"/>
    </row>
    <row r="122" spans="2:6" ht="18.75" customHeight="1" x14ac:dyDescent="0.15"/>
    <row r="123" spans="2:6" ht="409.5" customHeight="1" x14ac:dyDescent="0.15">
      <c r="B123" s="201"/>
      <c r="C123" s="201"/>
      <c r="D123" s="201"/>
      <c r="E123" s="201"/>
      <c r="F123" s="201"/>
    </row>
  </sheetData>
  <mergeCells count="30">
    <mergeCell ref="D23:D25"/>
    <mergeCell ref="C15:C17"/>
    <mergeCell ref="B4:F4"/>
    <mergeCell ref="B7:B9"/>
    <mergeCell ref="D7:D9"/>
    <mergeCell ref="E5:F5"/>
    <mergeCell ref="E12:F12"/>
    <mergeCell ref="B11:F11"/>
    <mergeCell ref="D12:D13"/>
    <mergeCell ref="B5:B6"/>
    <mergeCell ref="B12:B13"/>
    <mergeCell ref="C12:C13"/>
    <mergeCell ref="D5:D6"/>
    <mergeCell ref="C5:C6"/>
    <mergeCell ref="B69:F69"/>
    <mergeCell ref="B58:F58"/>
    <mergeCell ref="D27:D29"/>
    <mergeCell ref="B14:B17"/>
    <mergeCell ref="D31:D33"/>
    <mergeCell ref="B27:B29"/>
    <mergeCell ref="B23:B25"/>
    <mergeCell ref="B31:B33"/>
    <mergeCell ref="C19:C21"/>
    <mergeCell ref="B19:B21"/>
    <mergeCell ref="C27:C28"/>
    <mergeCell ref="E15:E16"/>
    <mergeCell ref="F15:F16"/>
    <mergeCell ref="C24:C25"/>
    <mergeCell ref="D14:D17"/>
    <mergeCell ref="D19:D21"/>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1:K68"/>
  <sheetViews>
    <sheetView showGridLines="0" topLeftCell="A2" zoomScale="125" zoomScaleNormal="125" zoomScalePageLayoutView="125" workbookViewId="0">
      <selection activeCell="C2" sqref="C2"/>
    </sheetView>
  </sheetViews>
  <sheetFormatPr baseColWidth="10" defaultColWidth="9.1640625" defaultRowHeight="26.25" customHeight="1" x14ac:dyDescent="0.15"/>
  <cols>
    <col min="1" max="1" width="1.33203125" style="159" customWidth="1"/>
    <col min="2" max="2" width="51.33203125" style="182" customWidth="1"/>
    <col min="3" max="3" width="54.6640625" style="182" customWidth="1"/>
    <col min="4" max="4" width="13.83203125" style="182" customWidth="1"/>
    <col min="5" max="5" width="17.5" style="183" customWidth="1"/>
    <col min="6" max="6" width="12" style="182" customWidth="1"/>
    <col min="7" max="7" width="20.83203125" style="159" customWidth="1"/>
    <col min="8" max="16384" width="9.1640625" style="159"/>
  </cols>
  <sheetData>
    <row r="1" spans="2:11" ht="12" x14ac:dyDescent="0.15">
      <c r="B1" s="442"/>
      <c r="C1" s="442"/>
      <c r="D1" s="442"/>
      <c r="E1" s="457"/>
      <c r="F1" s="442"/>
    </row>
    <row r="2" spans="2:11" ht="12" x14ac:dyDescent="0.15">
      <c r="B2" s="442"/>
      <c r="C2" s="442"/>
      <c r="D2" s="442"/>
      <c r="E2" s="457"/>
      <c r="F2" s="442"/>
    </row>
    <row r="3" spans="2:11" ht="12" x14ac:dyDescent="0.15">
      <c r="B3" s="512" t="s">
        <v>162</v>
      </c>
      <c r="C3" s="512"/>
      <c r="D3" s="512"/>
      <c r="E3" s="513"/>
      <c r="F3" s="514"/>
    </row>
    <row r="4" spans="2:11" ht="26.25" customHeight="1" x14ac:dyDescent="0.15">
      <c r="B4" s="664" t="s">
        <v>185</v>
      </c>
      <c r="C4" s="664"/>
      <c r="D4" s="664"/>
      <c r="E4" s="664"/>
      <c r="F4" s="664"/>
    </row>
    <row r="5" spans="2:11" ht="26.25" customHeight="1" x14ac:dyDescent="0.15">
      <c r="B5" s="669" t="s">
        <v>106</v>
      </c>
      <c r="C5" s="669" t="s">
        <v>107</v>
      </c>
      <c r="D5" s="669" t="s">
        <v>108</v>
      </c>
      <c r="E5" s="665" t="s">
        <v>109</v>
      </c>
      <c r="F5" s="665"/>
    </row>
    <row r="6" spans="2:11" ht="26.25" customHeight="1" x14ac:dyDescent="0.15">
      <c r="B6" s="670"/>
      <c r="C6" s="670"/>
      <c r="D6" s="670"/>
      <c r="E6" s="515" t="s">
        <v>62</v>
      </c>
      <c r="F6" s="515" t="s">
        <v>110</v>
      </c>
    </row>
    <row r="7" spans="2:11" ht="36" x14ac:dyDescent="0.15">
      <c r="B7" s="671" t="s">
        <v>163</v>
      </c>
      <c r="C7" s="509" t="s">
        <v>358</v>
      </c>
      <c r="D7" s="666" t="s">
        <v>2</v>
      </c>
      <c r="E7" s="516" t="s">
        <v>63</v>
      </c>
      <c r="F7" s="501">
        <v>286106</v>
      </c>
    </row>
    <row r="8" spans="2:11" ht="26.25" customHeight="1" x14ac:dyDescent="0.15">
      <c r="B8" s="672"/>
      <c r="C8" s="671" t="s">
        <v>171</v>
      </c>
      <c r="D8" s="667"/>
      <c r="E8" s="517" t="s">
        <v>123</v>
      </c>
      <c r="F8" s="417">
        <v>35822</v>
      </c>
    </row>
    <row r="9" spans="2:11" ht="51" customHeight="1" x14ac:dyDescent="0.15">
      <c r="B9" s="673"/>
      <c r="C9" s="673"/>
      <c r="D9" s="668"/>
      <c r="E9" s="517" t="s">
        <v>69</v>
      </c>
      <c r="F9" s="417">
        <v>75326</v>
      </c>
    </row>
    <row r="10" spans="2:11" ht="12" x14ac:dyDescent="0.15">
      <c r="B10" s="518" t="s">
        <v>182</v>
      </c>
      <c r="C10" s="518"/>
      <c r="D10" s="518"/>
      <c r="E10" s="518"/>
      <c r="F10" s="446">
        <f>SUM(F7:F9)</f>
        <v>397254</v>
      </c>
    </row>
    <row r="11" spans="2:11" ht="26.25" customHeight="1" x14ac:dyDescent="0.15">
      <c r="B11" s="620" t="s">
        <v>242</v>
      </c>
      <c r="C11" s="621"/>
      <c r="D11" s="621"/>
      <c r="E11" s="621"/>
      <c r="F11" s="622"/>
    </row>
    <row r="12" spans="2:11" ht="26.25" customHeight="1" x14ac:dyDescent="0.15">
      <c r="B12" s="640" t="s">
        <v>106</v>
      </c>
      <c r="C12" s="640" t="s">
        <v>107</v>
      </c>
      <c r="D12" s="640" t="s">
        <v>108</v>
      </c>
      <c r="E12" s="642" t="s">
        <v>109</v>
      </c>
      <c r="F12" s="642"/>
    </row>
    <row r="13" spans="2:11" ht="26.25" customHeight="1" x14ac:dyDescent="0.15">
      <c r="B13" s="641"/>
      <c r="C13" s="641"/>
      <c r="D13" s="641"/>
      <c r="E13" s="467" t="s">
        <v>62</v>
      </c>
      <c r="F13" s="467" t="s">
        <v>110</v>
      </c>
    </row>
    <row r="14" spans="2:11" ht="26" customHeight="1" x14ac:dyDescent="0.15">
      <c r="B14" s="688" t="s">
        <v>164</v>
      </c>
      <c r="C14" s="632" t="s">
        <v>176</v>
      </c>
      <c r="D14" s="646" t="s">
        <v>72</v>
      </c>
      <c r="E14" s="116" t="s">
        <v>63</v>
      </c>
      <c r="F14" s="498">
        <v>170000</v>
      </c>
    </row>
    <row r="15" spans="2:11" ht="1" customHeight="1" x14ac:dyDescent="0.15">
      <c r="B15" s="689"/>
      <c r="C15" s="633"/>
      <c r="D15" s="647"/>
      <c r="E15" s="694" t="s">
        <v>123</v>
      </c>
      <c r="F15" s="692">
        <v>5000</v>
      </c>
      <c r="H15" s="208"/>
      <c r="I15" s="208"/>
      <c r="J15" s="208"/>
      <c r="K15" s="208"/>
    </row>
    <row r="16" spans="2:11" ht="44" customHeight="1" x14ac:dyDescent="0.15">
      <c r="B16" s="689"/>
      <c r="C16" s="209" t="s">
        <v>179</v>
      </c>
      <c r="D16" s="647"/>
      <c r="E16" s="695"/>
      <c r="F16" s="693"/>
    </row>
    <row r="17" spans="2:6" ht="39" customHeight="1" x14ac:dyDescent="0.15">
      <c r="B17" s="689"/>
      <c r="C17" s="209" t="s">
        <v>177</v>
      </c>
      <c r="D17" s="151"/>
      <c r="E17" s="116" t="s">
        <v>69</v>
      </c>
      <c r="F17" s="519">
        <v>10000</v>
      </c>
    </row>
    <row r="18" spans="2:6" ht="12" x14ac:dyDescent="0.15">
      <c r="B18" s="689"/>
      <c r="C18" s="677"/>
      <c r="D18" s="678"/>
      <c r="E18" s="231" t="s">
        <v>74</v>
      </c>
      <c r="F18" s="495">
        <f>SUM(F14:F17)</f>
        <v>185000</v>
      </c>
    </row>
    <row r="19" spans="2:6" ht="26.25" customHeight="1" x14ac:dyDescent="0.15">
      <c r="B19" s="689"/>
      <c r="C19" s="606" t="s">
        <v>178</v>
      </c>
      <c r="D19" s="661" t="s">
        <v>2</v>
      </c>
      <c r="E19" s="158" t="s">
        <v>63</v>
      </c>
      <c r="F19" s="508">
        <v>13800</v>
      </c>
    </row>
    <row r="20" spans="2:6" ht="24.75" customHeight="1" x14ac:dyDescent="0.15">
      <c r="B20" s="689"/>
      <c r="C20" s="607"/>
      <c r="D20" s="662"/>
      <c r="E20" s="158" t="s">
        <v>123</v>
      </c>
      <c r="F20" s="508">
        <v>5000</v>
      </c>
    </row>
    <row r="21" spans="2:6" ht="44.25" customHeight="1" x14ac:dyDescent="0.15">
      <c r="B21" s="689"/>
      <c r="C21" s="608"/>
      <c r="D21" s="663"/>
      <c r="E21" s="158" t="s">
        <v>69</v>
      </c>
      <c r="F21" s="508">
        <v>3500</v>
      </c>
    </row>
    <row r="22" spans="2:6" ht="12" x14ac:dyDescent="0.15">
      <c r="B22" s="690"/>
      <c r="C22" s="691"/>
      <c r="D22" s="691"/>
      <c r="E22" s="231" t="s">
        <v>74</v>
      </c>
      <c r="F22" s="495">
        <f>SUM(F19:F21)</f>
        <v>22300</v>
      </c>
    </row>
    <row r="23" spans="2:6" ht="12" x14ac:dyDescent="0.15">
      <c r="B23" s="248" t="s">
        <v>74</v>
      </c>
      <c r="C23" s="674"/>
      <c r="D23" s="675"/>
      <c r="E23" s="676"/>
      <c r="F23" s="495">
        <f>F22+F18</f>
        <v>207300</v>
      </c>
    </row>
    <row r="24" spans="2:6" ht="26.25" customHeight="1" x14ac:dyDescent="0.15">
      <c r="B24" s="679" t="s">
        <v>165</v>
      </c>
      <c r="C24" s="685" t="s">
        <v>172</v>
      </c>
      <c r="D24" s="682" t="s">
        <v>2</v>
      </c>
      <c r="E24" s="158" t="s">
        <v>63</v>
      </c>
      <c r="F24" s="508">
        <v>14700</v>
      </c>
    </row>
    <row r="25" spans="2:6" ht="26.25" customHeight="1" x14ac:dyDescent="0.15">
      <c r="B25" s="680"/>
      <c r="C25" s="686"/>
      <c r="D25" s="683"/>
      <c r="E25" s="158" t="s">
        <v>123</v>
      </c>
      <c r="F25" s="508">
        <v>5000</v>
      </c>
    </row>
    <row r="26" spans="2:6" ht="42" customHeight="1" x14ac:dyDescent="0.15">
      <c r="B26" s="681"/>
      <c r="C26" s="687"/>
      <c r="D26" s="684"/>
      <c r="E26" s="158" t="s">
        <v>69</v>
      </c>
      <c r="F26" s="508">
        <v>3500</v>
      </c>
    </row>
    <row r="27" spans="2:6" ht="12" x14ac:dyDescent="0.15">
      <c r="B27" s="248" t="s">
        <v>74</v>
      </c>
      <c r="C27" s="214"/>
      <c r="D27" s="248"/>
      <c r="E27" s="231"/>
      <c r="F27" s="495">
        <f>SUM(F24:F26)</f>
        <v>23200</v>
      </c>
    </row>
    <row r="28" spans="2:6" ht="45.75" customHeight="1" x14ac:dyDescent="0.15">
      <c r="B28" s="600" t="s">
        <v>166</v>
      </c>
      <c r="C28" s="210" t="s">
        <v>173</v>
      </c>
      <c r="D28" s="634" t="s">
        <v>71</v>
      </c>
      <c r="E28" s="126" t="s">
        <v>63</v>
      </c>
      <c r="F28" s="520">
        <v>154591.5</v>
      </c>
    </row>
    <row r="29" spans="2:6" ht="26.25" customHeight="1" x14ac:dyDescent="0.15">
      <c r="B29" s="601"/>
      <c r="C29" s="210" t="s">
        <v>174</v>
      </c>
      <c r="D29" s="635"/>
      <c r="E29" s="126" t="s">
        <v>123</v>
      </c>
      <c r="F29" s="520">
        <v>22829.9</v>
      </c>
    </row>
    <row r="30" spans="2:6" ht="42.75" customHeight="1" x14ac:dyDescent="0.15">
      <c r="B30" s="601"/>
      <c r="C30" s="210" t="s">
        <v>175</v>
      </c>
      <c r="D30" s="635"/>
      <c r="E30" s="126" t="s">
        <v>69</v>
      </c>
      <c r="F30" s="520">
        <v>14018.69</v>
      </c>
    </row>
    <row r="31" spans="2:6" ht="12" x14ac:dyDescent="0.15">
      <c r="B31" s="248" t="s">
        <v>74</v>
      </c>
      <c r="C31" s="129"/>
      <c r="D31" s="248"/>
      <c r="E31" s="231"/>
      <c r="F31" s="495">
        <f>SUM(F28:F30)</f>
        <v>191440.09</v>
      </c>
    </row>
    <row r="32" spans="2:6" ht="12" x14ac:dyDescent="0.15">
      <c r="B32" s="291" t="s">
        <v>182</v>
      </c>
      <c r="C32" s="138"/>
      <c r="D32" s="292"/>
      <c r="E32" s="293"/>
      <c r="F32" s="502">
        <f>F31+F27+F22+F18</f>
        <v>421940.08999999997</v>
      </c>
    </row>
    <row r="33" spans="2:7" ht="12" x14ac:dyDescent="0.15">
      <c r="B33" s="172" t="s">
        <v>77</v>
      </c>
      <c r="C33" s="166"/>
      <c r="D33" s="166"/>
      <c r="E33" s="167"/>
      <c r="F33" s="450">
        <f>F32+F10</f>
        <v>819194.09</v>
      </c>
      <c r="G33" s="168"/>
    </row>
    <row r="34" spans="2:7" ht="12" x14ac:dyDescent="0.15">
      <c r="B34" s="169" t="s">
        <v>167</v>
      </c>
      <c r="C34" s="169"/>
      <c r="D34" s="169"/>
      <c r="E34" s="170"/>
      <c r="F34" s="436">
        <f>0.07*F33</f>
        <v>57343.586300000003</v>
      </c>
      <c r="G34" s="168"/>
    </row>
    <row r="35" spans="2:7" ht="12" x14ac:dyDescent="0.15">
      <c r="B35" s="172" t="s">
        <v>149</v>
      </c>
      <c r="C35" s="166"/>
      <c r="D35" s="166"/>
      <c r="E35" s="167"/>
      <c r="F35" s="450">
        <f>SUM(F33:F34)</f>
        <v>876537.67629999993</v>
      </c>
      <c r="G35" s="168"/>
    </row>
    <row r="37" spans="2:7" ht="26.25" customHeight="1" x14ac:dyDescent="0.15">
      <c r="B37" s="173" t="s">
        <v>168</v>
      </c>
      <c r="C37" s="173" t="s">
        <v>2</v>
      </c>
      <c r="D37" s="173" t="s">
        <v>71</v>
      </c>
      <c r="E37" s="174" t="s">
        <v>72</v>
      </c>
      <c r="F37" s="173" t="s">
        <v>1</v>
      </c>
    </row>
    <row r="38" spans="2:7" ht="12" x14ac:dyDescent="0.15">
      <c r="B38" s="135" t="s">
        <v>63</v>
      </c>
      <c r="C38" s="433">
        <f>F7+F19+F24</f>
        <v>314606</v>
      </c>
      <c r="D38" s="434">
        <f>F28</f>
        <v>154591.5</v>
      </c>
      <c r="E38" s="453">
        <f>F14</f>
        <v>170000</v>
      </c>
      <c r="F38" s="436">
        <f t="shared" ref="F38:F43" si="0">SUM(C38:E38)</f>
        <v>639197.5</v>
      </c>
    </row>
    <row r="39" spans="2:7" ht="12" x14ac:dyDescent="0.15">
      <c r="B39" s="135" t="s">
        <v>123</v>
      </c>
      <c r="C39" s="433">
        <f>F8+F20+F25</f>
        <v>45822</v>
      </c>
      <c r="D39" s="434">
        <f>F29</f>
        <v>22829.9</v>
      </c>
      <c r="E39" s="453">
        <f>F15</f>
        <v>5000</v>
      </c>
      <c r="F39" s="436">
        <f t="shared" si="0"/>
        <v>73651.899999999994</v>
      </c>
    </row>
    <row r="40" spans="2:7" ht="12" x14ac:dyDescent="0.15">
      <c r="B40" s="136" t="s">
        <v>69</v>
      </c>
      <c r="C40" s="433">
        <f>F9+F21+F26</f>
        <v>82326</v>
      </c>
      <c r="D40" s="434">
        <f>F30</f>
        <v>14018.69</v>
      </c>
      <c r="E40" s="453">
        <f>F17</f>
        <v>10000</v>
      </c>
      <c r="F40" s="436">
        <f t="shared" si="0"/>
        <v>106344.69</v>
      </c>
    </row>
    <row r="41" spans="2:7" ht="12" x14ac:dyDescent="0.15">
      <c r="B41" s="179" t="s">
        <v>169</v>
      </c>
      <c r="C41" s="437">
        <f>SUM(C38:C40)</f>
        <v>442754</v>
      </c>
      <c r="D41" s="437">
        <f>SUM(D38:D40)</f>
        <v>191440.09</v>
      </c>
      <c r="E41" s="454">
        <f>SUM(E38:E40)</f>
        <v>185000</v>
      </c>
      <c r="F41" s="437">
        <f t="shared" si="0"/>
        <v>819194.09</v>
      </c>
      <c r="G41" s="294">
        <f>C57+C68</f>
        <v>819194.09000000008</v>
      </c>
    </row>
    <row r="42" spans="2:7" ht="12" x14ac:dyDescent="0.15">
      <c r="B42" s="169" t="s">
        <v>121</v>
      </c>
      <c r="C42" s="433">
        <f>0.07*C41</f>
        <v>30992.780000000002</v>
      </c>
      <c r="D42" s="434">
        <f>0.07*D41</f>
        <v>13400.8063</v>
      </c>
      <c r="E42" s="453">
        <f>0.07*E41</f>
        <v>12950.000000000002</v>
      </c>
      <c r="F42" s="436">
        <f t="shared" si="0"/>
        <v>57343.586300000003</v>
      </c>
    </row>
    <row r="43" spans="2:7" ht="12" x14ac:dyDescent="0.15">
      <c r="B43" s="185" t="s">
        <v>1</v>
      </c>
      <c r="C43" s="438">
        <f>SUM(C41:C42)</f>
        <v>473746.78</v>
      </c>
      <c r="D43" s="439">
        <f>SUM(D41:D42)</f>
        <v>204840.89629999999</v>
      </c>
      <c r="E43" s="503">
        <f>SUM(E41:E42)</f>
        <v>197950</v>
      </c>
      <c r="F43" s="441">
        <f t="shared" si="0"/>
        <v>876537.67630000005</v>
      </c>
    </row>
    <row r="44" spans="2:7" ht="26.25" customHeight="1" x14ac:dyDescent="0.15">
      <c r="C44" s="442"/>
      <c r="D44" s="442"/>
      <c r="E44" s="457"/>
      <c r="F44" s="442"/>
    </row>
    <row r="45" spans="2:7" ht="13" thickBot="1" x14ac:dyDescent="0.2">
      <c r="B45" s="187" t="s">
        <v>170</v>
      </c>
      <c r="C45" s="443">
        <f>'Comparaison 2020 '!F10</f>
        <v>442755</v>
      </c>
      <c r="D45" s="443">
        <f>'Comparaison 2020 '!G10</f>
        <v>191440</v>
      </c>
      <c r="E45" s="460">
        <f>'Comparaison 2020 '!H10</f>
        <v>185000</v>
      </c>
      <c r="F45" s="443">
        <f>'Comparaison 2020 '!I10</f>
        <v>819195</v>
      </c>
    </row>
    <row r="46" spans="2:7" ht="26.25" customHeight="1" thickTop="1" x14ac:dyDescent="0.15"/>
    <row r="48" spans="2:7" ht="12" customHeight="1" x14ac:dyDescent="0.15">
      <c r="B48" s="623" t="s">
        <v>187</v>
      </c>
      <c r="C48" s="623"/>
      <c r="D48" s="623"/>
      <c r="E48" s="623"/>
      <c r="F48" s="623"/>
    </row>
    <row r="49" spans="2:6" ht="12" x14ac:dyDescent="0.15">
      <c r="B49" s="190" t="s">
        <v>62</v>
      </c>
      <c r="C49" s="191" t="s">
        <v>59</v>
      </c>
      <c r="D49" s="192" t="s">
        <v>2</v>
      </c>
      <c r="E49" s="193" t="s">
        <v>71</v>
      </c>
      <c r="F49" s="192" t="s">
        <v>72</v>
      </c>
    </row>
    <row r="50" spans="2:6" ht="12" x14ac:dyDescent="0.15">
      <c r="B50" s="169" t="s">
        <v>63</v>
      </c>
      <c r="C50" s="444">
        <f>D50+E50+F50</f>
        <v>286106</v>
      </c>
      <c r="D50" s="433">
        <f>F7</f>
        <v>286106</v>
      </c>
      <c r="E50" s="196"/>
      <c r="F50" s="197"/>
    </row>
    <row r="51" spans="2:6" ht="12" x14ac:dyDescent="0.15">
      <c r="B51" s="169" t="s">
        <v>64</v>
      </c>
      <c r="C51" s="444">
        <f t="shared" ref="C51:C56" si="1">D51+E51+F51</f>
        <v>0</v>
      </c>
      <c r="D51" s="433"/>
      <c r="E51" s="196"/>
      <c r="F51" s="197"/>
    </row>
    <row r="52" spans="2:6" ht="12" x14ac:dyDescent="0.15">
      <c r="B52" s="170" t="s">
        <v>65</v>
      </c>
      <c r="C52" s="444">
        <f t="shared" si="1"/>
        <v>0</v>
      </c>
      <c r="D52" s="433"/>
      <c r="E52" s="196"/>
      <c r="F52" s="197"/>
    </row>
    <row r="53" spans="2:6" ht="12" x14ac:dyDescent="0.15">
      <c r="B53" s="169" t="s">
        <v>66</v>
      </c>
      <c r="C53" s="444">
        <f t="shared" si="1"/>
        <v>0</v>
      </c>
      <c r="D53" s="433"/>
      <c r="E53" s="196"/>
      <c r="F53" s="197"/>
    </row>
    <row r="54" spans="2:6" ht="12" x14ac:dyDescent="0.15">
      <c r="B54" s="169" t="s">
        <v>123</v>
      </c>
      <c r="C54" s="444">
        <f t="shared" si="1"/>
        <v>35822</v>
      </c>
      <c r="D54" s="433">
        <f>F8</f>
        <v>35822</v>
      </c>
      <c r="E54" s="196"/>
      <c r="F54" s="197"/>
    </row>
    <row r="55" spans="2:6" ht="12" x14ac:dyDescent="0.15">
      <c r="B55" s="170" t="s">
        <v>68</v>
      </c>
      <c r="C55" s="444">
        <f t="shared" si="1"/>
        <v>0</v>
      </c>
      <c r="D55" s="433"/>
      <c r="E55" s="196"/>
      <c r="F55" s="197"/>
    </row>
    <row r="56" spans="2:6" ht="12" x14ac:dyDescent="0.15">
      <c r="B56" s="170" t="s">
        <v>69</v>
      </c>
      <c r="C56" s="444">
        <f t="shared" si="1"/>
        <v>75326</v>
      </c>
      <c r="D56" s="433">
        <f>F9</f>
        <v>75326</v>
      </c>
      <c r="E56" s="196"/>
      <c r="F56" s="197"/>
    </row>
    <row r="57" spans="2:6" ht="12" x14ac:dyDescent="0.15">
      <c r="B57" s="134" t="s">
        <v>74</v>
      </c>
      <c r="C57" s="445">
        <f>SUM(C50:C56)</f>
        <v>397254</v>
      </c>
      <c r="D57" s="445">
        <f>SUM(D50:D56)</f>
        <v>397254</v>
      </c>
      <c r="E57" s="199">
        <f>SUM(E50:E56)</f>
        <v>0</v>
      </c>
      <c r="F57" s="198">
        <f>SUM(F50:F56)</f>
        <v>0</v>
      </c>
    </row>
    <row r="59" spans="2:6" ht="22.5" customHeight="1" x14ac:dyDescent="0.15">
      <c r="B59" s="620" t="s">
        <v>242</v>
      </c>
      <c r="C59" s="621"/>
      <c r="D59" s="621"/>
      <c r="E59" s="621"/>
      <c r="F59" s="622"/>
    </row>
    <row r="60" spans="2:6" ht="12" x14ac:dyDescent="0.15">
      <c r="B60" s="190" t="s">
        <v>62</v>
      </c>
      <c r="C60" s="191" t="s">
        <v>59</v>
      </c>
      <c r="D60" s="192" t="s">
        <v>2</v>
      </c>
      <c r="E60" s="193" t="s">
        <v>71</v>
      </c>
      <c r="F60" s="192" t="s">
        <v>72</v>
      </c>
    </row>
    <row r="61" spans="2:6" ht="12" x14ac:dyDescent="0.15">
      <c r="B61" s="169" t="s">
        <v>63</v>
      </c>
      <c r="C61" s="444">
        <f>D61+E61+F61</f>
        <v>353091.5</v>
      </c>
      <c r="D61" s="433">
        <f>F19+F24</f>
        <v>28500</v>
      </c>
      <c r="E61" s="461">
        <f>F28</f>
        <v>154591.5</v>
      </c>
      <c r="F61" s="435">
        <f>+E38</f>
        <v>170000</v>
      </c>
    </row>
    <row r="62" spans="2:6" ht="12" x14ac:dyDescent="0.15">
      <c r="B62" s="169" t="s">
        <v>64</v>
      </c>
      <c r="C62" s="444">
        <f t="shared" ref="C62:C67" si="2">D62+E62+F62</f>
        <v>0</v>
      </c>
      <c r="D62" s="433"/>
      <c r="E62" s="461"/>
      <c r="F62" s="435"/>
    </row>
    <row r="63" spans="2:6" ht="12" x14ac:dyDescent="0.15">
      <c r="B63" s="170" t="s">
        <v>65</v>
      </c>
      <c r="C63" s="444">
        <f t="shared" si="2"/>
        <v>0</v>
      </c>
      <c r="D63" s="433"/>
      <c r="E63" s="461"/>
      <c r="F63" s="435"/>
    </row>
    <row r="64" spans="2:6" ht="12" x14ac:dyDescent="0.15">
      <c r="B64" s="169" t="s">
        <v>66</v>
      </c>
      <c r="C64" s="444">
        <f t="shared" si="2"/>
        <v>0</v>
      </c>
      <c r="D64" s="433"/>
      <c r="E64" s="461"/>
      <c r="F64" s="435"/>
    </row>
    <row r="65" spans="2:6" ht="12" x14ac:dyDescent="0.15">
      <c r="B65" s="169" t="s">
        <v>123</v>
      </c>
      <c r="C65" s="444">
        <f t="shared" si="2"/>
        <v>37829.9</v>
      </c>
      <c r="D65" s="433">
        <f>F25+F20</f>
        <v>10000</v>
      </c>
      <c r="E65" s="461">
        <f>F29</f>
        <v>22829.9</v>
      </c>
      <c r="F65" s="435">
        <f>+E39</f>
        <v>5000</v>
      </c>
    </row>
    <row r="66" spans="2:6" ht="12" x14ac:dyDescent="0.15">
      <c r="B66" s="170" t="s">
        <v>68</v>
      </c>
      <c r="C66" s="444">
        <f t="shared" si="2"/>
        <v>0</v>
      </c>
      <c r="D66" s="433"/>
      <c r="E66" s="461"/>
      <c r="F66" s="435"/>
    </row>
    <row r="67" spans="2:6" ht="12" x14ac:dyDescent="0.15">
      <c r="B67" s="170" t="s">
        <v>69</v>
      </c>
      <c r="C67" s="444">
        <f t="shared" si="2"/>
        <v>31018.690000000002</v>
      </c>
      <c r="D67" s="433">
        <f>F26+F21</f>
        <v>7000</v>
      </c>
      <c r="E67" s="461">
        <f>F30</f>
        <v>14018.69</v>
      </c>
      <c r="F67" s="435">
        <f>+E40</f>
        <v>10000</v>
      </c>
    </row>
    <row r="68" spans="2:6" ht="12" x14ac:dyDescent="0.15">
      <c r="B68" s="134" t="s">
        <v>74</v>
      </c>
      <c r="C68" s="445">
        <f>SUM(C61:C67)</f>
        <v>421940.09</v>
      </c>
      <c r="D68" s="445">
        <f>SUM(D61:D67)</f>
        <v>45500</v>
      </c>
      <c r="E68" s="462">
        <f>SUM(E61:E67)</f>
        <v>191440.09</v>
      </c>
      <c r="F68" s="445">
        <f>SUM(F61:F67)</f>
        <v>185000</v>
      </c>
    </row>
  </sheetData>
  <mergeCells count="30">
    <mergeCell ref="C23:E23"/>
    <mergeCell ref="C18:D18"/>
    <mergeCell ref="B59:F59"/>
    <mergeCell ref="B48:F48"/>
    <mergeCell ref="B28:B30"/>
    <mergeCell ref="D28:D30"/>
    <mergeCell ref="B24:B26"/>
    <mergeCell ref="D24:D26"/>
    <mergeCell ref="C24:C26"/>
    <mergeCell ref="B14:B22"/>
    <mergeCell ref="C22:D22"/>
    <mergeCell ref="F15:F16"/>
    <mergeCell ref="D14:D16"/>
    <mergeCell ref="C14:C15"/>
    <mergeCell ref="E15:E16"/>
    <mergeCell ref="C19:C21"/>
    <mergeCell ref="D19:D21"/>
    <mergeCell ref="B4:F4"/>
    <mergeCell ref="E5:F5"/>
    <mergeCell ref="B11:F11"/>
    <mergeCell ref="B12:B13"/>
    <mergeCell ref="C12:C13"/>
    <mergeCell ref="D12:D13"/>
    <mergeCell ref="D7:D9"/>
    <mergeCell ref="B5:B6"/>
    <mergeCell ref="C5:C6"/>
    <mergeCell ref="D5:D6"/>
    <mergeCell ref="B7:B9"/>
    <mergeCell ref="E12:F12"/>
    <mergeCell ref="C8:C9"/>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2:G71"/>
  <sheetViews>
    <sheetView showGridLines="0" topLeftCell="A22" zoomScale="125" zoomScaleNormal="125" zoomScalePageLayoutView="125" workbookViewId="0">
      <selection activeCell="C39" sqref="C39"/>
    </sheetView>
  </sheetViews>
  <sheetFormatPr baseColWidth="10" defaultColWidth="9.1640625" defaultRowHeight="12" x14ac:dyDescent="0.15"/>
  <cols>
    <col min="1" max="1" width="1.5" style="159" customWidth="1"/>
    <col min="2" max="2" width="37.5" style="182" customWidth="1"/>
    <col min="3" max="3" width="67.1640625" style="182" customWidth="1"/>
    <col min="4" max="4" width="15.1640625" style="182" customWidth="1"/>
    <col min="5" max="5" width="26.83203125" style="182" customWidth="1"/>
    <col min="6" max="6" width="15.5" style="182" customWidth="1"/>
    <col min="7" max="7" width="19.5" style="159" customWidth="1"/>
    <col min="8" max="16384" width="9.1640625" style="159"/>
  </cols>
  <sheetData>
    <row r="2" spans="2:6" x14ac:dyDescent="0.15">
      <c r="B2" s="132" t="s">
        <v>180</v>
      </c>
      <c r="C2" s="132"/>
      <c r="D2" s="132"/>
      <c r="E2" s="132"/>
      <c r="F2" s="133"/>
    </row>
    <row r="3" spans="2:6" ht="38.25" customHeight="1" x14ac:dyDescent="0.15">
      <c r="B3" s="620" t="s">
        <v>242</v>
      </c>
      <c r="C3" s="621"/>
      <c r="D3" s="621"/>
      <c r="E3" s="621"/>
      <c r="F3" s="622"/>
    </row>
    <row r="4" spans="2:6" ht="12" customHeight="1" x14ac:dyDescent="0.15">
      <c r="B4" s="640" t="s">
        <v>106</v>
      </c>
      <c r="C4" s="640" t="s">
        <v>107</v>
      </c>
      <c r="D4" s="640" t="s">
        <v>108</v>
      </c>
      <c r="E4" s="642" t="s">
        <v>109</v>
      </c>
      <c r="F4" s="642"/>
    </row>
    <row r="5" spans="2:6" x14ac:dyDescent="0.15">
      <c r="B5" s="641"/>
      <c r="C5" s="641"/>
      <c r="D5" s="641"/>
      <c r="E5" s="467" t="s">
        <v>62</v>
      </c>
      <c r="F5" s="467" t="s">
        <v>110</v>
      </c>
    </row>
    <row r="6" spans="2:6" ht="32" customHeight="1" x14ac:dyDescent="0.15">
      <c r="B6" s="614" t="s">
        <v>181</v>
      </c>
      <c r="C6" s="471" t="s">
        <v>193</v>
      </c>
      <c r="D6" s="618" t="s">
        <v>71</v>
      </c>
      <c r="E6" s="471" t="s">
        <v>63</v>
      </c>
      <c r="F6" s="418">
        <v>203975.7</v>
      </c>
    </row>
    <row r="7" spans="2:6" ht="29" customHeight="1" x14ac:dyDescent="0.15">
      <c r="B7" s="615"/>
      <c r="C7" s="471" t="s">
        <v>192</v>
      </c>
      <c r="D7" s="618"/>
      <c r="E7" s="702" t="s">
        <v>123</v>
      </c>
      <c r="F7" s="705">
        <v>25978.5</v>
      </c>
    </row>
    <row r="8" spans="2:6" ht="22.5" customHeight="1" x14ac:dyDescent="0.15">
      <c r="B8" s="615"/>
      <c r="C8" s="465" t="s">
        <v>189</v>
      </c>
      <c r="D8" s="618"/>
      <c r="E8" s="703"/>
      <c r="F8" s="706"/>
    </row>
    <row r="9" spans="2:6" ht="18" customHeight="1" x14ac:dyDescent="0.15">
      <c r="B9" s="615"/>
      <c r="C9" s="598" t="s">
        <v>194</v>
      </c>
      <c r="D9" s="618"/>
      <c r="E9" s="704"/>
      <c r="F9" s="707"/>
    </row>
    <row r="10" spans="2:6" ht="29.5" customHeight="1" x14ac:dyDescent="0.15">
      <c r="B10" s="616"/>
      <c r="C10" s="599"/>
      <c r="D10" s="618"/>
      <c r="E10" s="149" t="s">
        <v>69</v>
      </c>
      <c r="F10" s="506">
        <v>9345.7900000000009</v>
      </c>
    </row>
    <row r="11" spans="2:6" x14ac:dyDescent="0.15">
      <c r="B11" s="213" t="s">
        <v>74</v>
      </c>
      <c r="C11" s="130"/>
      <c r="D11" s="50"/>
      <c r="E11" s="130"/>
      <c r="F11" s="496">
        <f>SUM(F6:F10)</f>
        <v>239299.99000000002</v>
      </c>
    </row>
    <row r="12" spans="2:6" ht="27" customHeight="1" x14ac:dyDescent="0.15">
      <c r="B12" s="649" t="s">
        <v>183</v>
      </c>
      <c r="C12" s="157" t="s">
        <v>368</v>
      </c>
      <c r="D12" s="646" t="s">
        <v>72</v>
      </c>
      <c r="E12" s="469" t="s">
        <v>63</v>
      </c>
      <c r="F12" s="449">
        <v>30645.240000000005</v>
      </c>
    </row>
    <row r="13" spans="2:6" ht="25" customHeight="1" x14ac:dyDescent="0.15">
      <c r="B13" s="650"/>
      <c r="C13" s="143" t="s">
        <v>195</v>
      </c>
      <c r="D13" s="647"/>
      <c r="E13" s="314"/>
      <c r="F13" s="449"/>
    </row>
    <row r="14" spans="2:6" ht="19.5" customHeight="1" x14ac:dyDescent="0.15">
      <c r="B14" s="650"/>
      <c r="C14" s="143" t="s">
        <v>196</v>
      </c>
      <c r="D14" s="647"/>
      <c r="E14" s="314"/>
      <c r="F14" s="449"/>
    </row>
    <row r="15" spans="2:6" ht="15.5" customHeight="1" x14ac:dyDescent="0.15">
      <c r="B15" s="650"/>
      <c r="C15" s="157" t="s">
        <v>197</v>
      </c>
      <c r="D15" s="647"/>
      <c r="E15" s="156" t="s">
        <v>123</v>
      </c>
      <c r="F15" s="448">
        <v>3405.0266666666671</v>
      </c>
    </row>
    <row r="16" spans="2:6" ht="26" customHeight="1" x14ac:dyDescent="0.15">
      <c r="B16" s="651"/>
      <c r="C16" s="143" t="s">
        <v>198</v>
      </c>
      <c r="D16" s="648"/>
      <c r="E16" s="116" t="s">
        <v>69</v>
      </c>
      <c r="F16" s="448">
        <v>0</v>
      </c>
    </row>
    <row r="17" spans="2:6" x14ac:dyDescent="0.15">
      <c r="B17" s="213" t="s">
        <v>74</v>
      </c>
      <c r="C17" s="130"/>
      <c r="D17" s="50"/>
      <c r="E17" s="130"/>
      <c r="F17" s="496">
        <f>SUM(F12:F16)</f>
        <v>34050.26666666667</v>
      </c>
    </row>
    <row r="18" spans="2:6" ht="25" customHeight="1" x14ac:dyDescent="0.15">
      <c r="B18" s="632" t="s">
        <v>184</v>
      </c>
      <c r="C18" s="632" t="s">
        <v>190</v>
      </c>
      <c r="D18" s="624" t="s">
        <v>72</v>
      </c>
      <c r="E18" s="469" t="s">
        <v>63</v>
      </c>
      <c r="F18" s="499">
        <v>45967.86</v>
      </c>
    </row>
    <row r="19" spans="2:6" ht="14.5" customHeight="1" x14ac:dyDescent="0.15">
      <c r="B19" s="637"/>
      <c r="C19" s="633"/>
      <c r="D19" s="625"/>
      <c r="E19" s="131" t="s">
        <v>123</v>
      </c>
      <c r="F19" s="507">
        <v>5107.5400000000009</v>
      </c>
    </row>
    <row r="20" spans="2:6" ht="24" x14ac:dyDescent="0.15">
      <c r="B20" s="637"/>
      <c r="C20" s="143" t="s">
        <v>191</v>
      </c>
      <c r="D20" s="625"/>
      <c r="E20" s="152" t="s">
        <v>69</v>
      </c>
      <c r="F20" s="507">
        <v>0</v>
      </c>
    </row>
    <row r="21" spans="2:6" ht="20" customHeight="1" x14ac:dyDescent="0.15">
      <c r="B21" s="637"/>
      <c r="C21" s="130"/>
      <c r="D21" s="50"/>
      <c r="E21" s="231" t="s">
        <v>74</v>
      </c>
      <c r="F21" s="496">
        <f>SUM(F18:F20)</f>
        <v>51075.4</v>
      </c>
    </row>
    <row r="22" spans="2:6" ht="25" customHeight="1" x14ac:dyDescent="0.15">
      <c r="B22" s="637"/>
      <c r="C22" s="606" t="s">
        <v>199</v>
      </c>
      <c r="D22" s="682" t="s">
        <v>2</v>
      </c>
      <c r="E22" s="470" t="s">
        <v>63</v>
      </c>
      <c r="F22" s="508">
        <v>25802</v>
      </c>
    </row>
    <row r="23" spans="2:6" x14ac:dyDescent="0.15">
      <c r="B23" s="637"/>
      <c r="C23" s="608"/>
      <c r="D23" s="683"/>
      <c r="E23" s="299" t="s">
        <v>123</v>
      </c>
      <c r="F23" s="508">
        <v>3132</v>
      </c>
    </row>
    <row r="24" spans="2:6" ht="36" x14ac:dyDescent="0.15">
      <c r="B24" s="637"/>
      <c r="C24" s="118" t="s">
        <v>200</v>
      </c>
      <c r="D24" s="683"/>
      <c r="E24" s="297" t="s">
        <v>69</v>
      </c>
      <c r="F24" s="508">
        <v>1427</v>
      </c>
    </row>
    <row r="25" spans="2:6" x14ac:dyDescent="0.15">
      <c r="B25" s="633"/>
      <c r="C25" s="130"/>
      <c r="D25" s="130"/>
      <c r="E25" s="231" t="s">
        <v>74</v>
      </c>
      <c r="F25" s="496">
        <f>SUM(F22:F24)</f>
        <v>30361</v>
      </c>
    </row>
    <row r="26" spans="2:6" x14ac:dyDescent="0.15">
      <c r="B26" s="213" t="s">
        <v>74</v>
      </c>
      <c r="C26" s="130"/>
      <c r="D26" s="50"/>
      <c r="E26" s="130"/>
      <c r="F26" s="496">
        <f>SUM(F21+F25)</f>
        <v>81436.399999999994</v>
      </c>
    </row>
    <row r="27" spans="2:6" ht="26" customHeight="1" x14ac:dyDescent="0.15">
      <c r="B27" s="699" t="s">
        <v>188</v>
      </c>
      <c r="C27" s="493" t="s">
        <v>201</v>
      </c>
      <c r="D27" s="682" t="s">
        <v>2</v>
      </c>
      <c r="E27" s="468" t="s">
        <v>63</v>
      </c>
      <c r="F27" s="509">
        <f>51603+51603</f>
        <v>103206</v>
      </c>
    </row>
    <row r="28" spans="2:6" ht="26" customHeight="1" x14ac:dyDescent="0.15">
      <c r="B28" s="700"/>
      <c r="C28" s="493" t="s">
        <v>202</v>
      </c>
      <c r="D28" s="683"/>
      <c r="E28" s="593" t="s">
        <v>123</v>
      </c>
      <c r="F28" s="696">
        <f>6263+6263</f>
        <v>12526</v>
      </c>
    </row>
    <row r="29" spans="2:6" ht="42" customHeight="1" x14ac:dyDescent="0.15">
      <c r="B29" s="700"/>
      <c r="C29" s="493" t="s">
        <v>203</v>
      </c>
      <c r="D29" s="683"/>
      <c r="E29" s="594"/>
      <c r="F29" s="697"/>
    </row>
    <row r="30" spans="2:6" ht="42" customHeight="1" x14ac:dyDescent="0.15">
      <c r="B30" s="700"/>
      <c r="C30" s="493" t="s">
        <v>204</v>
      </c>
      <c r="D30" s="683"/>
      <c r="E30" s="595"/>
      <c r="F30" s="698"/>
    </row>
    <row r="31" spans="2:6" ht="27" customHeight="1" x14ac:dyDescent="0.15">
      <c r="B31" s="700"/>
      <c r="C31" s="493" t="s">
        <v>205</v>
      </c>
      <c r="D31" s="683"/>
      <c r="E31" s="606" t="s">
        <v>69</v>
      </c>
      <c r="F31" s="696">
        <f>2854+2854</f>
        <v>5708</v>
      </c>
    </row>
    <row r="32" spans="2:6" ht="26" customHeight="1" x14ac:dyDescent="0.15">
      <c r="B32" s="700"/>
      <c r="C32" s="493" t="s">
        <v>206</v>
      </c>
      <c r="D32" s="683"/>
      <c r="E32" s="607"/>
      <c r="F32" s="697"/>
    </row>
    <row r="33" spans="2:7" ht="19" customHeight="1" x14ac:dyDescent="0.15">
      <c r="B33" s="701"/>
      <c r="C33" s="493" t="s">
        <v>207</v>
      </c>
      <c r="D33" s="684"/>
      <c r="E33" s="608"/>
      <c r="F33" s="698"/>
    </row>
    <row r="34" spans="2:7" x14ac:dyDescent="0.15">
      <c r="B34" s="213" t="s">
        <v>74</v>
      </c>
      <c r="C34" s="130"/>
      <c r="D34" s="50"/>
      <c r="E34" s="130"/>
      <c r="F34" s="496">
        <f>SUM(F27:F33)</f>
        <v>121440</v>
      </c>
    </row>
    <row r="35" spans="2:7" x14ac:dyDescent="0.15">
      <c r="B35" s="172" t="s">
        <v>77</v>
      </c>
      <c r="C35" s="166"/>
      <c r="D35" s="166"/>
      <c r="E35" s="166"/>
      <c r="F35" s="510">
        <f>F34+F26+F17+F11</f>
        <v>476226.65666666668</v>
      </c>
    </row>
    <row r="36" spans="2:7" x14ac:dyDescent="0.15">
      <c r="B36" s="169" t="s">
        <v>167</v>
      </c>
      <c r="C36" s="169"/>
      <c r="D36" s="169"/>
      <c r="E36" s="169"/>
      <c r="F36" s="511">
        <f>0.07*F35</f>
        <v>33335.865966666672</v>
      </c>
      <c r="G36" s="215">
        <f>C60+C71</f>
        <v>476226.65666666668</v>
      </c>
    </row>
    <row r="37" spans="2:7" x14ac:dyDescent="0.15">
      <c r="B37" s="172" t="s">
        <v>149</v>
      </c>
      <c r="C37" s="166"/>
      <c r="D37" s="166"/>
      <c r="E37" s="166"/>
      <c r="F37" s="510">
        <f>F36+F35</f>
        <v>509562.52263333334</v>
      </c>
    </row>
    <row r="39" spans="2:7" x14ac:dyDescent="0.15">
      <c r="G39" s="218"/>
    </row>
    <row r="40" spans="2:7" x14ac:dyDescent="0.15">
      <c r="G40" s="218"/>
    </row>
    <row r="41" spans="2:7" x14ac:dyDescent="0.15">
      <c r="B41" s="173" t="s">
        <v>168</v>
      </c>
      <c r="C41" s="173" t="s">
        <v>2</v>
      </c>
      <c r="D41" s="173" t="s">
        <v>71</v>
      </c>
      <c r="E41" s="173" t="s">
        <v>72</v>
      </c>
      <c r="F41" s="173" t="s">
        <v>1</v>
      </c>
      <c r="G41" s="220"/>
    </row>
    <row r="42" spans="2:7" x14ac:dyDescent="0.15">
      <c r="B42" s="135" t="s">
        <v>63</v>
      </c>
      <c r="C42" s="433">
        <f>F22+F27</f>
        <v>129008</v>
      </c>
      <c r="D42" s="434">
        <f>F6</f>
        <v>203975.7</v>
      </c>
      <c r="E42" s="435">
        <f>F12+F18</f>
        <v>76613.100000000006</v>
      </c>
      <c r="F42" s="436">
        <f t="shared" ref="F42:F47" si="0">SUM(C42:E42)</f>
        <v>409596.80000000005</v>
      </c>
    </row>
    <row r="43" spans="2:7" x14ac:dyDescent="0.15">
      <c r="B43" s="135" t="s">
        <v>123</v>
      </c>
      <c r="C43" s="433">
        <f>F28+F23</f>
        <v>15658</v>
      </c>
      <c r="D43" s="434">
        <f>F7</f>
        <v>25978.5</v>
      </c>
      <c r="E43" s="435">
        <f>F19+F15</f>
        <v>8512.5666666666675</v>
      </c>
      <c r="F43" s="436">
        <f t="shared" si="0"/>
        <v>50149.066666666666</v>
      </c>
    </row>
    <row r="44" spans="2:7" x14ac:dyDescent="0.15">
      <c r="B44" s="136" t="s">
        <v>69</v>
      </c>
      <c r="C44" s="433">
        <f>F31+F24</f>
        <v>7135</v>
      </c>
      <c r="D44" s="434">
        <f>F10</f>
        <v>9345.7900000000009</v>
      </c>
      <c r="E44" s="435">
        <f>F20+F16</f>
        <v>0</v>
      </c>
      <c r="F44" s="436">
        <f t="shared" si="0"/>
        <v>16480.79</v>
      </c>
    </row>
    <row r="45" spans="2:7" x14ac:dyDescent="0.15">
      <c r="B45" s="179" t="s">
        <v>169</v>
      </c>
      <c r="C45" s="437">
        <f>SUM(C42:C44)</f>
        <v>151801</v>
      </c>
      <c r="D45" s="437">
        <f>SUM(D42:D44)</f>
        <v>239299.99000000002</v>
      </c>
      <c r="E45" s="437">
        <f>SUM(E42:E44)</f>
        <v>85125.666666666672</v>
      </c>
      <c r="F45" s="437">
        <f t="shared" si="0"/>
        <v>476226.65666666668</v>
      </c>
    </row>
    <row r="46" spans="2:7" x14ac:dyDescent="0.15">
      <c r="B46" s="169" t="s">
        <v>121</v>
      </c>
      <c r="C46" s="433">
        <f>C45*0.07</f>
        <v>10626.070000000002</v>
      </c>
      <c r="D46" s="434">
        <f>0.07*D45</f>
        <v>16750.999300000003</v>
      </c>
      <c r="E46" s="435">
        <f>0.07*E45</f>
        <v>5958.796666666668</v>
      </c>
      <c r="F46" s="436">
        <f t="shared" si="0"/>
        <v>33335.865966666672</v>
      </c>
    </row>
    <row r="47" spans="2:7" x14ac:dyDescent="0.15">
      <c r="B47" s="185" t="s">
        <v>1</v>
      </c>
      <c r="C47" s="438">
        <f>C46+C45</f>
        <v>162427.07</v>
      </c>
      <c r="D47" s="439">
        <f>D45+D46</f>
        <v>256050.98930000002</v>
      </c>
      <c r="E47" s="440">
        <f>E46+E45</f>
        <v>91084.463333333333</v>
      </c>
      <c r="F47" s="441">
        <f t="shared" si="0"/>
        <v>509562.52263333334</v>
      </c>
    </row>
    <row r="48" spans="2:7" x14ac:dyDescent="0.15">
      <c r="B48" s="217"/>
      <c r="C48" s="217"/>
      <c r="D48" s="217"/>
      <c r="E48" s="217"/>
      <c r="F48" s="217"/>
    </row>
    <row r="49" spans="2:6" ht="25" thickBot="1" x14ac:dyDescent="0.2">
      <c r="B49" s="187" t="s">
        <v>170</v>
      </c>
      <c r="C49" s="500">
        <f>'Comparaison 2020 '!F15</f>
        <v>151801</v>
      </c>
      <c r="D49" s="500">
        <f>'Comparaison 2020 '!G15</f>
        <v>239300</v>
      </c>
      <c r="E49" s="500">
        <f>'Comparaison 2020 '!H15</f>
        <v>85126</v>
      </c>
      <c r="F49" s="500">
        <f>'Comparaison 2020 '!I15</f>
        <v>476227</v>
      </c>
    </row>
    <row r="50" spans="2:6" ht="13" thickTop="1" x14ac:dyDescent="0.15">
      <c r="B50" s="206"/>
      <c r="C50" s="206"/>
      <c r="D50" s="206"/>
      <c r="E50" s="206"/>
      <c r="F50" s="206"/>
    </row>
    <row r="51" spans="2:6" ht="12" customHeight="1" x14ac:dyDescent="0.15">
      <c r="B51" s="623" t="s">
        <v>187</v>
      </c>
      <c r="C51" s="623"/>
      <c r="D51" s="623"/>
      <c r="E51" s="623"/>
      <c r="F51" s="623"/>
    </row>
    <row r="52" spans="2:6" x14ac:dyDescent="0.15">
      <c r="B52" s="190" t="s">
        <v>62</v>
      </c>
      <c r="C52" s="191" t="s">
        <v>59</v>
      </c>
      <c r="D52" s="192" t="s">
        <v>2</v>
      </c>
      <c r="E52" s="207" t="s">
        <v>71</v>
      </c>
      <c r="F52" s="192" t="s">
        <v>72</v>
      </c>
    </row>
    <row r="53" spans="2:6" x14ac:dyDescent="0.15">
      <c r="B53" s="169" t="s">
        <v>63</v>
      </c>
      <c r="C53" s="194">
        <f>D53+E53+F53</f>
        <v>0</v>
      </c>
      <c r="D53" s="195"/>
      <c r="E53" s="176"/>
      <c r="F53" s="197"/>
    </row>
    <row r="54" spans="2:6" x14ac:dyDescent="0.15">
      <c r="B54" s="169" t="s">
        <v>64</v>
      </c>
      <c r="C54" s="194">
        <f t="shared" ref="C54:C59" si="1">D54+E54+F54</f>
        <v>0</v>
      </c>
      <c r="D54" s="195"/>
      <c r="E54" s="176"/>
      <c r="F54" s="197"/>
    </row>
    <row r="55" spans="2:6" x14ac:dyDescent="0.15">
      <c r="B55" s="170" t="s">
        <v>65</v>
      </c>
      <c r="C55" s="194">
        <f t="shared" si="1"/>
        <v>0</v>
      </c>
      <c r="D55" s="195"/>
      <c r="E55" s="176"/>
      <c r="F55" s="197"/>
    </row>
    <row r="56" spans="2:6" x14ac:dyDescent="0.15">
      <c r="B56" s="169" t="s">
        <v>66</v>
      </c>
      <c r="C56" s="194">
        <f t="shared" si="1"/>
        <v>0</v>
      </c>
      <c r="D56" s="195"/>
      <c r="E56" s="176"/>
      <c r="F56" s="197"/>
    </row>
    <row r="57" spans="2:6" x14ac:dyDescent="0.15">
      <c r="B57" s="169" t="s">
        <v>123</v>
      </c>
      <c r="C57" s="194">
        <f t="shared" si="1"/>
        <v>0</v>
      </c>
      <c r="D57" s="195"/>
      <c r="E57" s="176"/>
      <c r="F57" s="197"/>
    </row>
    <row r="58" spans="2:6" x14ac:dyDescent="0.15">
      <c r="B58" s="170" t="s">
        <v>68</v>
      </c>
      <c r="C58" s="194">
        <f t="shared" si="1"/>
        <v>0</v>
      </c>
      <c r="D58" s="195"/>
      <c r="E58" s="176"/>
      <c r="F58" s="197"/>
    </row>
    <row r="59" spans="2:6" x14ac:dyDescent="0.15">
      <c r="B59" s="170" t="s">
        <v>69</v>
      </c>
      <c r="C59" s="194">
        <f t="shared" si="1"/>
        <v>0</v>
      </c>
      <c r="D59" s="195"/>
      <c r="E59" s="176"/>
      <c r="F59" s="197"/>
    </row>
    <row r="60" spans="2:6" x14ac:dyDescent="0.15">
      <c r="B60" s="134" t="s">
        <v>74</v>
      </c>
      <c r="C60" s="198">
        <f>SUM(C53:C59)</f>
        <v>0</v>
      </c>
      <c r="D60" s="198">
        <f>SUM(D53:D59)</f>
        <v>0</v>
      </c>
      <c r="E60" s="198">
        <f>SUM(E53:E59)</f>
        <v>0</v>
      </c>
      <c r="F60" s="198">
        <f>SUM(F53:F59)</f>
        <v>0</v>
      </c>
    </row>
    <row r="62" spans="2:6" ht="33" customHeight="1" x14ac:dyDescent="0.15">
      <c r="B62" s="620" t="s">
        <v>242</v>
      </c>
      <c r="C62" s="621"/>
      <c r="D62" s="621"/>
      <c r="E62" s="621"/>
      <c r="F62" s="622"/>
    </row>
    <row r="63" spans="2:6" x14ac:dyDescent="0.15">
      <c r="B63" s="190" t="s">
        <v>62</v>
      </c>
      <c r="C63" s="191" t="s">
        <v>59</v>
      </c>
      <c r="D63" s="192" t="s">
        <v>2</v>
      </c>
      <c r="E63" s="207" t="s">
        <v>71</v>
      </c>
      <c r="F63" s="192" t="s">
        <v>72</v>
      </c>
    </row>
    <row r="64" spans="2:6" x14ac:dyDescent="0.15">
      <c r="B64" s="169" t="s">
        <v>63</v>
      </c>
      <c r="C64" s="444">
        <f>D64+E64+F64</f>
        <v>409596.80000000005</v>
      </c>
      <c r="D64" s="433">
        <f>C42</f>
        <v>129008</v>
      </c>
      <c r="E64" s="434">
        <f>+D42</f>
        <v>203975.7</v>
      </c>
      <c r="F64" s="435">
        <f>+E42</f>
        <v>76613.100000000006</v>
      </c>
    </row>
    <row r="65" spans="2:6" x14ac:dyDescent="0.15">
      <c r="B65" s="169" t="s">
        <v>64</v>
      </c>
      <c r="C65" s="444">
        <f t="shared" ref="C65:C70" si="2">D65+E65+F65</f>
        <v>0</v>
      </c>
      <c r="D65" s="433"/>
      <c r="E65" s="434"/>
      <c r="F65" s="435"/>
    </row>
    <row r="66" spans="2:6" x14ac:dyDescent="0.15">
      <c r="B66" s="170" t="s">
        <v>65</v>
      </c>
      <c r="C66" s="444">
        <f t="shared" si="2"/>
        <v>0</v>
      </c>
      <c r="D66" s="433"/>
      <c r="E66" s="434"/>
      <c r="F66" s="435"/>
    </row>
    <row r="67" spans="2:6" x14ac:dyDescent="0.15">
      <c r="B67" s="169" t="s">
        <v>66</v>
      </c>
      <c r="C67" s="444">
        <f t="shared" si="2"/>
        <v>0</v>
      </c>
      <c r="D67" s="433"/>
      <c r="E67" s="434"/>
      <c r="F67" s="435"/>
    </row>
    <row r="68" spans="2:6" x14ac:dyDescent="0.15">
      <c r="B68" s="169" t="s">
        <v>123</v>
      </c>
      <c r="C68" s="444">
        <f t="shared" si="2"/>
        <v>50149.066666666666</v>
      </c>
      <c r="D68" s="433">
        <f>C43</f>
        <v>15658</v>
      </c>
      <c r="E68" s="434">
        <f>+D43</f>
        <v>25978.5</v>
      </c>
      <c r="F68" s="435">
        <f>+E43</f>
        <v>8512.5666666666675</v>
      </c>
    </row>
    <row r="69" spans="2:6" x14ac:dyDescent="0.15">
      <c r="B69" s="170" t="s">
        <v>68</v>
      </c>
      <c r="C69" s="444">
        <f t="shared" si="2"/>
        <v>0</v>
      </c>
      <c r="D69" s="433"/>
      <c r="E69" s="434"/>
      <c r="F69" s="435"/>
    </row>
    <row r="70" spans="2:6" x14ac:dyDescent="0.15">
      <c r="B70" s="170" t="s">
        <v>69</v>
      </c>
      <c r="C70" s="444">
        <f t="shared" si="2"/>
        <v>16480.79</v>
      </c>
      <c r="D70" s="433">
        <f>C44</f>
        <v>7135</v>
      </c>
      <c r="E70" s="434">
        <f>+D44</f>
        <v>9345.7900000000009</v>
      </c>
      <c r="F70" s="435">
        <f>+E44</f>
        <v>0</v>
      </c>
    </row>
    <row r="71" spans="2:6" x14ac:dyDescent="0.15">
      <c r="B71" s="134" t="s">
        <v>74</v>
      </c>
      <c r="C71" s="445">
        <f>SUM(C64:C70)</f>
        <v>476226.65666666668</v>
      </c>
      <c r="D71" s="445">
        <f>SUM(D64:D70)</f>
        <v>151801</v>
      </c>
      <c r="E71" s="445">
        <f>SUM(E64:E70)</f>
        <v>239299.99000000002</v>
      </c>
      <c r="F71" s="445">
        <f>SUM(F64:F70)</f>
        <v>85125.666666666672</v>
      </c>
    </row>
  </sheetData>
  <mergeCells count="25">
    <mergeCell ref="B62:F62"/>
    <mergeCell ref="B51:F51"/>
    <mergeCell ref="D12:D16"/>
    <mergeCell ref="D18:D20"/>
    <mergeCell ref="E28:E30"/>
    <mergeCell ref="F28:F30"/>
    <mergeCell ref="B3:F3"/>
    <mergeCell ref="B4:B5"/>
    <mergeCell ref="C4:C5"/>
    <mergeCell ref="D4:D5"/>
    <mergeCell ref="E4:F4"/>
    <mergeCell ref="B6:B10"/>
    <mergeCell ref="E31:E33"/>
    <mergeCell ref="F31:F33"/>
    <mergeCell ref="D27:D33"/>
    <mergeCell ref="B27:B33"/>
    <mergeCell ref="D6:D10"/>
    <mergeCell ref="B12:B16"/>
    <mergeCell ref="D22:D24"/>
    <mergeCell ref="B18:B25"/>
    <mergeCell ref="E7:E9"/>
    <mergeCell ref="F7:F9"/>
    <mergeCell ref="C9:C10"/>
    <mergeCell ref="C18:C19"/>
    <mergeCell ref="C22:C23"/>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L63"/>
  <sheetViews>
    <sheetView showGridLines="0" topLeftCell="A7" zoomScale="125" zoomScaleNormal="125" zoomScalePageLayoutView="125" workbookViewId="0">
      <selection activeCell="C24" sqref="C24"/>
    </sheetView>
  </sheetViews>
  <sheetFormatPr baseColWidth="10" defaultColWidth="9.1640625" defaultRowHeight="12" x14ac:dyDescent="0.15"/>
  <cols>
    <col min="1" max="1" width="1.83203125" style="159" customWidth="1"/>
    <col min="2" max="2" width="57.83203125" style="182" customWidth="1"/>
    <col min="3" max="3" width="54.5" style="182" customWidth="1"/>
    <col min="4" max="4" width="16.33203125" style="182" customWidth="1"/>
    <col min="5" max="5" width="20.6640625" style="183" customWidth="1"/>
    <col min="6" max="6" width="11.1640625" style="182" customWidth="1"/>
    <col min="7" max="7" width="13.6640625" style="159" customWidth="1"/>
    <col min="8" max="16384" width="9.1640625" style="159"/>
  </cols>
  <sheetData>
    <row r="3" spans="2:6" x14ac:dyDescent="0.15">
      <c r="B3" s="132" t="s">
        <v>208</v>
      </c>
      <c r="C3" s="132"/>
      <c r="D3" s="132"/>
      <c r="E3" s="146"/>
      <c r="F3" s="133"/>
    </row>
    <row r="4" spans="2:6" ht="12" customHeight="1" x14ac:dyDescent="0.15">
      <c r="B4" s="623" t="s">
        <v>187</v>
      </c>
      <c r="C4" s="623"/>
      <c r="D4" s="623"/>
      <c r="E4" s="623"/>
      <c r="F4" s="623"/>
    </row>
    <row r="5" spans="2:6" x14ac:dyDescent="0.15">
      <c r="B5" s="640" t="s">
        <v>106</v>
      </c>
      <c r="C5" s="640" t="s">
        <v>107</v>
      </c>
      <c r="D5" s="640" t="s">
        <v>108</v>
      </c>
      <c r="E5" s="642" t="s">
        <v>109</v>
      </c>
      <c r="F5" s="642"/>
    </row>
    <row r="6" spans="2:6" x14ac:dyDescent="0.15">
      <c r="B6" s="641"/>
      <c r="C6" s="641"/>
      <c r="D6" s="641"/>
      <c r="E6" s="467" t="s">
        <v>62</v>
      </c>
      <c r="F6" s="467" t="s">
        <v>110</v>
      </c>
    </row>
    <row r="7" spans="2:6" ht="24" customHeight="1" x14ac:dyDescent="0.15">
      <c r="B7" s="607" t="s">
        <v>209</v>
      </c>
      <c r="C7" s="591" t="s">
        <v>210</v>
      </c>
      <c r="D7" s="643" t="s">
        <v>2</v>
      </c>
      <c r="E7" s="155" t="s">
        <v>63</v>
      </c>
      <c r="F7" s="501">
        <v>123052.953052353</v>
      </c>
    </row>
    <row r="8" spans="2:6" x14ac:dyDescent="0.15">
      <c r="B8" s="607"/>
      <c r="C8" s="592"/>
      <c r="D8" s="644"/>
      <c r="E8" s="158" t="s">
        <v>123</v>
      </c>
      <c r="F8" s="417">
        <v>9654.7464466446672</v>
      </c>
    </row>
    <row r="9" spans="2:6" ht="168" customHeight="1" x14ac:dyDescent="0.15">
      <c r="B9" s="608"/>
      <c r="C9" s="652"/>
      <c r="D9" s="645"/>
      <c r="E9" s="158" t="s">
        <v>69</v>
      </c>
      <c r="F9" s="417">
        <v>118.34551107717755</v>
      </c>
    </row>
    <row r="10" spans="2:6" x14ac:dyDescent="0.15">
      <c r="B10" s="213" t="s">
        <v>182</v>
      </c>
      <c r="C10" s="130"/>
      <c r="D10" s="50"/>
      <c r="E10" s="130"/>
      <c r="F10" s="496">
        <f>SUM(F7:F9)</f>
        <v>132826.04501007483</v>
      </c>
    </row>
    <row r="11" spans="2:6" ht="30.75" customHeight="1" x14ac:dyDescent="0.15">
      <c r="B11" s="620" t="s">
        <v>242</v>
      </c>
      <c r="C11" s="621"/>
      <c r="D11" s="621"/>
      <c r="E11" s="621"/>
      <c r="F11" s="622"/>
    </row>
    <row r="12" spans="2:6" x14ac:dyDescent="0.15">
      <c r="B12" s="640" t="s">
        <v>106</v>
      </c>
      <c r="C12" s="640" t="s">
        <v>107</v>
      </c>
      <c r="D12" s="640" t="s">
        <v>108</v>
      </c>
      <c r="E12" s="642" t="s">
        <v>109</v>
      </c>
      <c r="F12" s="642"/>
    </row>
    <row r="13" spans="2:6" x14ac:dyDescent="0.15">
      <c r="B13" s="641"/>
      <c r="C13" s="641"/>
      <c r="D13" s="641"/>
      <c r="E13" s="467" t="s">
        <v>62</v>
      </c>
      <c r="F13" s="467" t="s">
        <v>110</v>
      </c>
    </row>
    <row r="14" spans="2:6" ht="45" customHeight="1" x14ac:dyDescent="0.15">
      <c r="B14" s="614" t="s">
        <v>213</v>
      </c>
      <c r="C14" s="161" t="s">
        <v>212</v>
      </c>
      <c r="D14" s="617" t="s">
        <v>71</v>
      </c>
      <c r="E14" s="126" t="s">
        <v>63</v>
      </c>
      <c r="F14" s="418">
        <v>178472.8</v>
      </c>
    </row>
    <row r="15" spans="2:6" x14ac:dyDescent="0.15">
      <c r="B15" s="615"/>
      <c r="C15" s="614" t="s">
        <v>211</v>
      </c>
      <c r="D15" s="618"/>
      <c r="E15" s="126" t="s">
        <v>123</v>
      </c>
      <c r="F15" s="418">
        <v>19961.68</v>
      </c>
    </row>
    <row r="16" spans="2:6" ht="36" x14ac:dyDescent="0.15">
      <c r="B16" s="615"/>
      <c r="C16" s="616"/>
      <c r="D16" s="618"/>
      <c r="E16" s="126" t="s">
        <v>69</v>
      </c>
      <c r="F16" s="418">
        <v>9345.7900000000009</v>
      </c>
    </row>
    <row r="17" spans="2:12" x14ac:dyDescent="0.15">
      <c r="B17" s="213" t="s">
        <v>74</v>
      </c>
      <c r="C17" s="130"/>
      <c r="D17" s="50"/>
      <c r="E17" s="130" t="s">
        <v>74</v>
      </c>
      <c r="F17" s="496">
        <f>SUM(F14:F16)</f>
        <v>207780.27</v>
      </c>
    </row>
    <row r="18" spans="2:12" ht="24" x14ac:dyDescent="0.15">
      <c r="B18" s="709" t="s">
        <v>214</v>
      </c>
      <c r="C18" s="591" t="s">
        <v>351</v>
      </c>
      <c r="D18" s="708" t="s">
        <v>2</v>
      </c>
      <c r="E18" s="158" t="s">
        <v>63</v>
      </c>
      <c r="F18" s="417">
        <v>52736.979879579994</v>
      </c>
    </row>
    <row r="19" spans="2:12" x14ac:dyDescent="0.15">
      <c r="B19" s="710"/>
      <c r="C19" s="592"/>
      <c r="D19" s="708"/>
      <c r="E19" s="158" t="s">
        <v>123</v>
      </c>
      <c r="F19" s="417">
        <v>4137.7484771334284</v>
      </c>
    </row>
    <row r="20" spans="2:12" ht="43" customHeight="1" x14ac:dyDescent="0.15">
      <c r="B20" s="711"/>
      <c r="C20" s="652"/>
      <c r="D20" s="708"/>
      <c r="E20" s="158" t="s">
        <v>69</v>
      </c>
      <c r="F20" s="417">
        <v>50.719504747361803</v>
      </c>
    </row>
    <row r="21" spans="2:12" x14ac:dyDescent="0.15">
      <c r="B21" s="213" t="s">
        <v>74</v>
      </c>
      <c r="C21" s="130"/>
      <c r="D21" s="50"/>
      <c r="E21" s="130"/>
      <c r="F21" s="496">
        <f>SUM(F18:F20)</f>
        <v>56925.447861460787</v>
      </c>
    </row>
    <row r="22" spans="2:12" ht="27.75" customHeight="1" x14ac:dyDescent="0.15">
      <c r="B22" s="716" t="s">
        <v>215</v>
      </c>
      <c r="C22" s="317" t="s">
        <v>223</v>
      </c>
      <c r="D22" s="624" t="s">
        <v>72</v>
      </c>
      <c r="E22" s="116" t="s">
        <v>63</v>
      </c>
      <c r="F22" s="499">
        <v>41000</v>
      </c>
      <c r="H22" s="164"/>
      <c r="I22" s="164"/>
      <c r="J22" s="164"/>
      <c r="K22" s="164"/>
      <c r="L22" s="164"/>
    </row>
    <row r="23" spans="2:12" ht="23.25" customHeight="1" x14ac:dyDescent="0.15">
      <c r="B23" s="717"/>
      <c r="C23" s="317" t="s">
        <v>216</v>
      </c>
      <c r="D23" s="625"/>
      <c r="E23" s="694" t="s">
        <v>123</v>
      </c>
      <c r="F23" s="713">
        <v>5000</v>
      </c>
    </row>
    <row r="24" spans="2:12" ht="23.25" customHeight="1" x14ac:dyDescent="0.15">
      <c r="B24" s="717"/>
      <c r="C24" s="317" t="s">
        <v>352</v>
      </c>
      <c r="D24" s="625"/>
      <c r="E24" s="712"/>
      <c r="F24" s="714"/>
    </row>
    <row r="25" spans="2:12" ht="23.25" customHeight="1" x14ac:dyDescent="0.15">
      <c r="B25" s="718"/>
      <c r="C25" s="317" t="s">
        <v>217</v>
      </c>
      <c r="D25" s="626"/>
      <c r="E25" s="695"/>
      <c r="F25" s="715"/>
    </row>
    <row r="26" spans="2:12" x14ac:dyDescent="0.15">
      <c r="B26" s="248" t="s">
        <v>74</v>
      </c>
      <c r="C26" s="130"/>
      <c r="D26" s="50"/>
      <c r="E26" s="130"/>
      <c r="F26" s="496">
        <f>SUM(F22:F23)</f>
        <v>46000</v>
      </c>
    </row>
    <row r="27" spans="2:12" x14ac:dyDescent="0.15">
      <c r="B27" s="291" t="s">
        <v>182</v>
      </c>
      <c r="C27" s="292"/>
      <c r="D27" s="292"/>
      <c r="E27" s="293"/>
      <c r="F27" s="502">
        <f>F26+F21+F17</f>
        <v>310705.71786146075</v>
      </c>
    </row>
    <row r="28" spans="2:12" x14ac:dyDescent="0.15">
      <c r="B28" s="172" t="s">
        <v>77</v>
      </c>
      <c r="C28" s="166"/>
      <c r="D28" s="166"/>
      <c r="E28" s="167"/>
      <c r="F28" s="450">
        <f>F27+F10</f>
        <v>443531.76287153561</v>
      </c>
    </row>
    <row r="29" spans="2:12" x14ac:dyDescent="0.15">
      <c r="B29" s="169" t="s">
        <v>167</v>
      </c>
      <c r="C29" s="169"/>
      <c r="D29" s="169"/>
      <c r="E29" s="170"/>
      <c r="F29" s="436">
        <f>0.07*F28</f>
        <v>31047.223401007497</v>
      </c>
    </row>
    <row r="30" spans="2:12" x14ac:dyDescent="0.15">
      <c r="B30" s="172" t="s">
        <v>149</v>
      </c>
      <c r="C30" s="166"/>
      <c r="D30" s="166"/>
      <c r="E30" s="167"/>
      <c r="F30" s="450">
        <f>SUM(F28:F29)</f>
        <v>474578.98627254309</v>
      </c>
    </row>
    <row r="33" spans="2:7" x14ac:dyDescent="0.15">
      <c r="B33" s="173" t="s">
        <v>168</v>
      </c>
      <c r="C33" s="173" t="s">
        <v>2</v>
      </c>
      <c r="D33" s="173" t="s">
        <v>71</v>
      </c>
      <c r="E33" s="174" t="s">
        <v>72</v>
      </c>
      <c r="F33" s="173" t="s">
        <v>1</v>
      </c>
    </row>
    <row r="34" spans="2:7" x14ac:dyDescent="0.15">
      <c r="B34" s="135" t="s">
        <v>63</v>
      </c>
      <c r="C34" s="433">
        <f>F18+F7</f>
        <v>175789.932931933</v>
      </c>
      <c r="D34" s="434">
        <f>F14</f>
        <v>178472.8</v>
      </c>
      <c r="E34" s="453">
        <f>F22</f>
        <v>41000</v>
      </c>
      <c r="F34" s="436">
        <f>SUM(C34:E34)</f>
        <v>395262.73293193302</v>
      </c>
    </row>
    <row r="35" spans="2:7" x14ac:dyDescent="0.15">
      <c r="B35" s="135" t="s">
        <v>123</v>
      </c>
      <c r="C35" s="433">
        <f>F19+F8</f>
        <v>13792.494923778097</v>
      </c>
      <c r="D35" s="434">
        <f>F15</f>
        <v>19961.68</v>
      </c>
      <c r="E35" s="453">
        <f>F23</f>
        <v>5000</v>
      </c>
      <c r="F35" s="436">
        <f>SUM(C35:E35)</f>
        <v>38754.174923778097</v>
      </c>
    </row>
    <row r="36" spans="2:7" x14ac:dyDescent="0.15">
      <c r="B36" s="136" t="s">
        <v>69</v>
      </c>
      <c r="C36" s="433">
        <f>F20+F9</f>
        <v>169.06501582453936</v>
      </c>
      <c r="D36" s="434">
        <f>F16</f>
        <v>9345.7900000000009</v>
      </c>
      <c r="E36" s="453">
        <v>0</v>
      </c>
      <c r="F36" s="436">
        <f>SUM(C36:E36)</f>
        <v>9514.8550158245398</v>
      </c>
    </row>
    <row r="37" spans="2:7" x14ac:dyDescent="0.15">
      <c r="B37" s="179" t="s">
        <v>169</v>
      </c>
      <c r="C37" s="437">
        <f>SUM(C34:C36)</f>
        <v>189751.49287153562</v>
      </c>
      <c r="D37" s="437">
        <f>SUM(D34:D36)</f>
        <v>207780.27</v>
      </c>
      <c r="E37" s="454">
        <f>SUM(E34:E36)</f>
        <v>46000</v>
      </c>
      <c r="F37" s="437">
        <f>SUM(F34:F36)</f>
        <v>443531.76287153567</v>
      </c>
      <c r="G37" s="215">
        <f>C52+C63</f>
        <v>443531.76287153561</v>
      </c>
    </row>
    <row r="38" spans="2:7" x14ac:dyDescent="0.15">
      <c r="B38" s="169" t="s">
        <v>121</v>
      </c>
      <c r="C38" s="433">
        <f>0.07*C37</f>
        <v>13282.604501007494</v>
      </c>
      <c r="D38" s="434">
        <f>0.07*D37</f>
        <v>14544.618900000001</v>
      </c>
      <c r="E38" s="453">
        <f>0.07*E37</f>
        <v>3220.0000000000005</v>
      </c>
      <c r="F38" s="436">
        <f>0.07*F37</f>
        <v>31047.223401007501</v>
      </c>
    </row>
    <row r="39" spans="2:7" x14ac:dyDescent="0.15">
      <c r="B39" s="185" t="s">
        <v>1</v>
      </c>
      <c r="C39" s="438">
        <f>SUM(C37:C38)</f>
        <v>203034.09737254312</v>
      </c>
      <c r="D39" s="439">
        <f>SUM(D37:D38)</f>
        <v>222324.88889999999</v>
      </c>
      <c r="E39" s="503">
        <f>SUM(E37:E38)</f>
        <v>49220</v>
      </c>
      <c r="F39" s="441">
        <f>SUM(F37:F38)</f>
        <v>474578.98627254314</v>
      </c>
    </row>
    <row r="40" spans="2:7" x14ac:dyDescent="0.15">
      <c r="C40" s="442"/>
      <c r="D40" s="442"/>
      <c r="E40" s="457"/>
      <c r="F40" s="442"/>
    </row>
    <row r="41" spans="2:7" ht="13" thickBot="1" x14ac:dyDescent="0.2">
      <c r="B41" s="187" t="s">
        <v>170</v>
      </c>
      <c r="C41" s="500">
        <f>'Comparaison 2020 '!F11</f>
        <v>189751</v>
      </c>
      <c r="D41" s="500">
        <f>'Comparaison 2020 '!G11</f>
        <v>207780</v>
      </c>
      <c r="E41" s="504">
        <f>'Comparaison 2020 '!H11</f>
        <v>46000</v>
      </c>
      <c r="F41" s="500">
        <f>'Comparaison 2020 '!I11</f>
        <v>443531</v>
      </c>
    </row>
    <row r="42" spans="2:7" ht="13" thickTop="1" x14ac:dyDescent="0.15">
      <c r="C42" s="442"/>
      <c r="D42" s="442"/>
      <c r="E42" s="457"/>
      <c r="F42" s="442"/>
    </row>
    <row r="43" spans="2:7" ht="12" customHeight="1" x14ac:dyDescent="0.15">
      <c r="B43" s="623" t="s">
        <v>187</v>
      </c>
      <c r="C43" s="623"/>
      <c r="D43" s="623"/>
      <c r="E43" s="623"/>
      <c r="F43" s="623"/>
    </row>
    <row r="44" spans="2:7" x14ac:dyDescent="0.15">
      <c r="B44" s="190" t="s">
        <v>62</v>
      </c>
      <c r="C44" s="191" t="s">
        <v>59</v>
      </c>
      <c r="D44" s="192" t="s">
        <v>2</v>
      </c>
      <c r="E44" s="193" t="s">
        <v>71</v>
      </c>
      <c r="F44" s="192" t="s">
        <v>72</v>
      </c>
    </row>
    <row r="45" spans="2:7" x14ac:dyDescent="0.15">
      <c r="B45" s="169" t="s">
        <v>63</v>
      </c>
      <c r="C45" s="444">
        <f>D45+E45+F45</f>
        <v>123052.953052353</v>
      </c>
      <c r="D45" s="433">
        <f>+F7</f>
        <v>123052.953052353</v>
      </c>
      <c r="E45" s="196"/>
      <c r="F45" s="197"/>
    </row>
    <row r="46" spans="2:7" x14ac:dyDescent="0.15">
      <c r="B46" s="169" t="s">
        <v>64</v>
      </c>
      <c r="C46" s="444">
        <f t="shared" ref="C46:C51" si="0">D46+E46+F46</f>
        <v>0</v>
      </c>
      <c r="D46" s="433"/>
      <c r="E46" s="196"/>
      <c r="F46" s="197"/>
    </row>
    <row r="47" spans="2:7" x14ac:dyDescent="0.15">
      <c r="B47" s="170" t="s">
        <v>65</v>
      </c>
      <c r="C47" s="444">
        <f t="shared" si="0"/>
        <v>0</v>
      </c>
      <c r="D47" s="433"/>
      <c r="E47" s="196"/>
      <c r="F47" s="197"/>
    </row>
    <row r="48" spans="2:7" x14ac:dyDescent="0.15">
      <c r="B48" s="169" t="s">
        <v>66</v>
      </c>
      <c r="C48" s="444">
        <f t="shared" si="0"/>
        <v>0</v>
      </c>
      <c r="D48" s="433"/>
      <c r="E48" s="196"/>
      <c r="F48" s="197"/>
    </row>
    <row r="49" spans="2:6" x14ac:dyDescent="0.15">
      <c r="B49" s="169" t="s">
        <v>123</v>
      </c>
      <c r="C49" s="444">
        <f t="shared" si="0"/>
        <v>9654.7464466446672</v>
      </c>
      <c r="D49" s="433">
        <f>+F8</f>
        <v>9654.7464466446672</v>
      </c>
      <c r="E49" s="196"/>
      <c r="F49" s="197"/>
    </row>
    <row r="50" spans="2:6" x14ac:dyDescent="0.15">
      <c r="B50" s="170" t="s">
        <v>68</v>
      </c>
      <c r="C50" s="444">
        <f t="shared" si="0"/>
        <v>0</v>
      </c>
      <c r="D50" s="433"/>
      <c r="E50" s="196"/>
      <c r="F50" s="197"/>
    </row>
    <row r="51" spans="2:6" x14ac:dyDescent="0.15">
      <c r="B51" s="170" t="s">
        <v>69</v>
      </c>
      <c r="C51" s="444">
        <f t="shared" si="0"/>
        <v>118.34551107717755</v>
      </c>
      <c r="D51" s="433">
        <f>+F9</f>
        <v>118.34551107717755</v>
      </c>
      <c r="E51" s="196"/>
      <c r="F51" s="197"/>
    </row>
    <row r="52" spans="2:6" x14ac:dyDescent="0.15">
      <c r="B52" s="134" t="s">
        <v>74</v>
      </c>
      <c r="C52" s="445">
        <f>SUM(C45:C51)</f>
        <v>132826.04501007483</v>
      </c>
      <c r="D52" s="445">
        <f>SUM(D45:D51)</f>
        <v>132826.04501007483</v>
      </c>
      <c r="E52" s="199">
        <f>SUM(E45:E51)</f>
        <v>0</v>
      </c>
      <c r="F52" s="198">
        <f>SUM(F45:F51)</f>
        <v>0</v>
      </c>
    </row>
    <row r="54" spans="2:6" ht="27.75" customHeight="1" x14ac:dyDescent="0.15">
      <c r="B54" s="620" t="s">
        <v>242</v>
      </c>
      <c r="C54" s="621"/>
      <c r="D54" s="621"/>
      <c r="E54" s="621"/>
      <c r="F54" s="622"/>
    </row>
    <row r="55" spans="2:6" x14ac:dyDescent="0.15">
      <c r="B55" s="190" t="s">
        <v>62</v>
      </c>
      <c r="C55" s="191" t="s">
        <v>59</v>
      </c>
      <c r="D55" s="192" t="s">
        <v>2</v>
      </c>
      <c r="E55" s="193" t="s">
        <v>71</v>
      </c>
      <c r="F55" s="192" t="s">
        <v>72</v>
      </c>
    </row>
    <row r="56" spans="2:6" x14ac:dyDescent="0.15">
      <c r="B56" s="169" t="s">
        <v>63</v>
      </c>
      <c r="C56" s="444">
        <f>D56+E56+F56</f>
        <v>272209.77987958002</v>
      </c>
      <c r="D56" s="433">
        <f>+F18</f>
        <v>52736.979879579994</v>
      </c>
      <c r="E56" s="505">
        <f>+D34</f>
        <v>178472.8</v>
      </c>
      <c r="F56" s="435">
        <f>+E34</f>
        <v>41000</v>
      </c>
    </row>
    <row r="57" spans="2:6" x14ac:dyDescent="0.15">
      <c r="B57" s="169" t="s">
        <v>64</v>
      </c>
      <c r="C57" s="444">
        <f t="shared" ref="C57:C62" si="1">D57+E57+F57</f>
        <v>0</v>
      </c>
      <c r="D57" s="433"/>
      <c r="E57" s="505"/>
      <c r="F57" s="435"/>
    </row>
    <row r="58" spans="2:6" x14ac:dyDescent="0.15">
      <c r="B58" s="170" t="s">
        <v>65</v>
      </c>
      <c r="C58" s="444">
        <f t="shared" si="1"/>
        <v>0</v>
      </c>
      <c r="D58" s="433"/>
      <c r="E58" s="505"/>
      <c r="F58" s="435"/>
    </row>
    <row r="59" spans="2:6" x14ac:dyDescent="0.15">
      <c r="B59" s="169" t="s">
        <v>66</v>
      </c>
      <c r="C59" s="444">
        <f t="shared" si="1"/>
        <v>0</v>
      </c>
      <c r="D59" s="433"/>
      <c r="E59" s="505"/>
      <c r="F59" s="435"/>
    </row>
    <row r="60" spans="2:6" x14ac:dyDescent="0.15">
      <c r="B60" s="169" t="s">
        <v>123</v>
      </c>
      <c r="C60" s="444">
        <f t="shared" si="1"/>
        <v>29099.428477133428</v>
      </c>
      <c r="D60" s="433">
        <f>+F19</f>
        <v>4137.7484771334284</v>
      </c>
      <c r="E60" s="505">
        <f>+D35</f>
        <v>19961.68</v>
      </c>
      <c r="F60" s="435">
        <f>+E35</f>
        <v>5000</v>
      </c>
    </row>
    <row r="61" spans="2:6" x14ac:dyDescent="0.15">
      <c r="B61" s="170" t="s">
        <v>68</v>
      </c>
      <c r="C61" s="444">
        <f t="shared" si="1"/>
        <v>0</v>
      </c>
      <c r="D61" s="433"/>
      <c r="E61" s="505"/>
      <c r="F61" s="435"/>
    </row>
    <row r="62" spans="2:6" x14ac:dyDescent="0.15">
      <c r="B62" s="170" t="s">
        <v>69</v>
      </c>
      <c r="C62" s="444">
        <f t="shared" si="1"/>
        <v>9396.5095047473624</v>
      </c>
      <c r="D62" s="433">
        <f>+F20</f>
        <v>50.719504747361803</v>
      </c>
      <c r="E62" s="505">
        <f>+D36</f>
        <v>9345.7900000000009</v>
      </c>
      <c r="F62" s="435">
        <f>+E36</f>
        <v>0</v>
      </c>
    </row>
    <row r="63" spans="2:6" x14ac:dyDescent="0.15">
      <c r="B63" s="134" t="s">
        <v>74</v>
      </c>
      <c r="C63" s="445">
        <f>SUM(C56:C62)</f>
        <v>310705.71786146081</v>
      </c>
      <c r="D63" s="445">
        <f>SUM(D56:D62)</f>
        <v>56925.447861460787</v>
      </c>
      <c r="E63" s="462">
        <f>SUM(E56:E62)</f>
        <v>207780.27</v>
      </c>
      <c r="F63" s="445">
        <f>SUM(F56:F62)</f>
        <v>46000</v>
      </c>
    </row>
  </sheetData>
  <mergeCells count="25">
    <mergeCell ref="B54:F54"/>
    <mergeCell ref="B43:F43"/>
    <mergeCell ref="D18:D20"/>
    <mergeCell ref="B18:B20"/>
    <mergeCell ref="C18:C20"/>
    <mergeCell ref="D22:D25"/>
    <mergeCell ref="E23:E25"/>
    <mergeCell ref="F23:F25"/>
    <mergeCell ref="B22:B25"/>
    <mergeCell ref="B14:B16"/>
    <mergeCell ref="D14:D16"/>
    <mergeCell ref="E12:F12"/>
    <mergeCell ref="B12:B13"/>
    <mergeCell ref="C12:C13"/>
    <mergeCell ref="D12:D13"/>
    <mergeCell ref="C15:C16"/>
    <mergeCell ref="B4:F4"/>
    <mergeCell ref="E5:F5"/>
    <mergeCell ref="B11:F11"/>
    <mergeCell ref="B7:B9"/>
    <mergeCell ref="B5:B6"/>
    <mergeCell ref="C5:C6"/>
    <mergeCell ref="D5:D6"/>
    <mergeCell ref="D7:D9"/>
    <mergeCell ref="C7:C9"/>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G77"/>
  <sheetViews>
    <sheetView showGridLines="0" topLeftCell="A58" zoomScale="125" zoomScaleNormal="125" zoomScalePageLayoutView="125" workbookViewId="0">
      <selection activeCell="C87" sqref="C87"/>
    </sheetView>
  </sheetViews>
  <sheetFormatPr baseColWidth="10" defaultColWidth="9.1640625" defaultRowHeight="12" x14ac:dyDescent="0.15"/>
  <cols>
    <col min="1" max="1" width="1" style="159" customWidth="1"/>
    <col min="2" max="2" width="37" style="182" customWidth="1"/>
    <col min="3" max="3" width="75.83203125" style="182" customWidth="1"/>
    <col min="4" max="4" width="13.1640625" style="182" customWidth="1"/>
    <col min="5" max="5" width="18.83203125" style="182" customWidth="1"/>
    <col min="6" max="6" width="14.1640625" style="182" customWidth="1"/>
    <col min="7" max="7" width="16.5" style="182" customWidth="1"/>
    <col min="8" max="16384" width="9.1640625" style="159"/>
  </cols>
  <sheetData>
    <row r="3" spans="2:6" x14ac:dyDescent="0.15">
      <c r="B3" s="132" t="s">
        <v>267</v>
      </c>
      <c r="C3" s="132"/>
      <c r="D3" s="132"/>
      <c r="E3" s="132"/>
      <c r="F3" s="133"/>
    </row>
    <row r="4" spans="2:6" ht="42" customHeight="1" x14ac:dyDescent="0.15">
      <c r="B4" s="620" t="s">
        <v>242</v>
      </c>
      <c r="C4" s="621"/>
      <c r="D4" s="621"/>
      <c r="E4" s="621"/>
      <c r="F4" s="622"/>
    </row>
    <row r="5" spans="2:6" ht="15.75" customHeight="1" x14ac:dyDescent="0.15">
      <c r="B5" s="640" t="s">
        <v>106</v>
      </c>
      <c r="C5" s="640" t="s">
        <v>107</v>
      </c>
      <c r="D5" s="640" t="s">
        <v>108</v>
      </c>
      <c r="E5" s="642" t="s">
        <v>109</v>
      </c>
      <c r="F5" s="642"/>
    </row>
    <row r="6" spans="2:6" x14ac:dyDescent="0.15">
      <c r="B6" s="641"/>
      <c r="C6" s="641"/>
      <c r="D6" s="641"/>
      <c r="E6" s="467" t="s">
        <v>62</v>
      </c>
      <c r="F6" s="467" t="s">
        <v>110</v>
      </c>
    </row>
    <row r="7" spans="2:6" ht="31.5" customHeight="1" x14ac:dyDescent="0.15">
      <c r="B7" s="598" t="s">
        <v>218</v>
      </c>
      <c r="C7" s="318" t="s">
        <v>225</v>
      </c>
      <c r="D7" s="617" t="s">
        <v>71</v>
      </c>
      <c r="E7" s="598" t="s">
        <v>63</v>
      </c>
      <c r="F7" s="726">
        <v>357372.8</v>
      </c>
    </row>
    <row r="8" spans="2:6" ht="44.5" customHeight="1" x14ac:dyDescent="0.15">
      <c r="B8" s="604"/>
      <c r="C8" s="318" t="s">
        <v>226</v>
      </c>
      <c r="D8" s="618"/>
      <c r="E8" s="604"/>
      <c r="F8" s="727"/>
    </row>
    <row r="9" spans="2:6" ht="48" customHeight="1" x14ac:dyDescent="0.15">
      <c r="B9" s="604"/>
      <c r="C9" s="318" t="s">
        <v>229</v>
      </c>
      <c r="D9" s="618"/>
      <c r="E9" s="604"/>
      <c r="F9" s="727"/>
    </row>
    <row r="10" spans="2:6" ht="39" customHeight="1" x14ac:dyDescent="0.15">
      <c r="B10" s="604"/>
      <c r="C10" s="127" t="s">
        <v>349</v>
      </c>
      <c r="D10" s="618"/>
      <c r="E10" s="604"/>
      <c r="F10" s="727"/>
    </row>
    <row r="11" spans="2:6" ht="42.5" customHeight="1" x14ac:dyDescent="0.15">
      <c r="B11" s="604"/>
      <c r="C11" s="127" t="s">
        <v>227</v>
      </c>
      <c r="D11" s="618"/>
      <c r="E11" s="604"/>
      <c r="F11" s="727"/>
    </row>
    <row r="12" spans="2:6" ht="34.5" customHeight="1" x14ac:dyDescent="0.15">
      <c r="B12" s="604"/>
      <c r="C12" s="127" t="s">
        <v>228</v>
      </c>
      <c r="D12" s="618"/>
      <c r="E12" s="604"/>
      <c r="F12" s="727"/>
    </row>
    <row r="13" spans="2:6" ht="34" customHeight="1" x14ac:dyDescent="0.15">
      <c r="B13" s="604"/>
      <c r="C13" s="127" t="s">
        <v>231</v>
      </c>
      <c r="D13" s="618"/>
      <c r="E13" s="702" t="s">
        <v>123</v>
      </c>
      <c r="F13" s="724">
        <v>38335.5</v>
      </c>
    </row>
    <row r="14" spans="2:6" ht="48.5" customHeight="1" x14ac:dyDescent="0.15">
      <c r="B14" s="604"/>
      <c r="C14" s="127" t="s">
        <v>230</v>
      </c>
      <c r="D14" s="618"/>
      <c r="E14" s="704"/>
      <c r="F14" s="725"/>
    </row>
    <row r="15" spans="2:6" ht="42.75" customHeight="1" x14ac:dyDescent="0.15">
      <c r="B15" s="604"/>
      <c r="C15" s="320" t="s">
        <v>232</v>
      </c>
      <c r="D15" s="619"/>
      <c r="E15" s="126" t="s">
        <v>69</v>
      </c>
      <c r="F15" s="494">
        <v>18691.5</v>
      </c>
    </row>
    <row r="16" spans="2:6" ht="14.5" customHeight="1" x14ac:dyDescent="0.15">
      <c r="B16" s="604"/>
      <c r="C16" s="677"/>
      <c r="D16" s="678"/>
      <c r="E16" s="231" t="s">
        <v>74</v>
      </c>
      <c r="F16" s="495">
        <f>SUM(F7:F15)</f>
        <v>414399.8</v>
      </c>
    </row>
    <row r="17" spans="2:7" ht="24" customHeight="1" x14ac:dyDescent="0.15">
      <c r="B17" s="604"/>
      <c r="C17" s="606" t="s">
        <v>219</v>
      </c>
      <c r="D17" s="643" t="s">
        <v>2</v>
      </c>
      <c r="E17" s="298" t="s">
        <v>63</v>
      </c>
      <c r="F17" s="417">
        <v>33865</v>
      </c>
    </row>
    <row r="18" spans="2:7" ht="19.5" customHeight="1" x14ac:dyDescent="0.15">
      <c r="B18" s="604"/>
      <c r="C18" s="607"/>
      <c r="D18" s="644"/>
      <c r="E18" s="298" t="s">
        <v>123</v>
      </c>
      <c r="F18" s="417">
        <v>5948</v>
      </c>
    </row>
    <row r="19" spans="2:7" ht="39" customHeight="1" x14ac:dyDescent="0.15">
      <c r="B19" s="604"/>
      <c r="C19" s="608"/>
      <c r="D19" s="645"/>
      <c r="E19" s="298" t="s">
        <v>69</v>
      </c>
      <c r="F19" s="417">
        <v>36</v>
      </c>
    </row>
    <row r="20" spans="2:7" ht="16" customHeight="1" x14ac:dyDescent="0.15">
      <c r="B20" s="599"/>
      <c r="C20" s="677"/>
      <c r="D20" s="678"/>
      <c r="E20" s="231" t="s">
        <v>74</v>
      </c>
      <c r="F20" s="495">
        <f>SUM(F17:F19)</f>
        <v>39849</v>
      </c>
    </row>
    <row r="21" spans="2:7" ht="15" customHeight="1" x14ac:dyDescent="0.15">
      <c r="B21" s="213" t="s">
        <v>74</v>
      </c>
      <c r="C21" s="130"/>
      <c r="D21" s="50"/>
      <c r="E21" s="130"/>
      <c r="F21" s="496">
        <f>SUM(F16+F20)</f>
        <v>454248.8</v>
      </c>
    </row>
    <row r="22" spans="2:7" ht="24" x14ac:dyDescent="0.15">
      <c r="B22" s="728" t="s">
        <v>233</v>
      </c>
      <c r="C22" s="321" t="s">
        <v>220</v>
      </c>
      <c r="D22" s="643" t="s">
        <v>2</v>
      </c>
      <c r="E22" s="606" t="s">
        <v>63</v>
      </c>
      <c r="F22" s="722">
        <v>62891</v>
      </c>
      <c r="G22" s="221"/>
    </row>
    <row r="23" spans="2:7" ht="24" x14ac:dyDescent="0.15">
      <c r="B23" s="729"/>
      <c r="C23" s="321" t="s">
        <v>221</v>
      </c>
      <c r="D23" s="644"/>
      <c r="E23" s="608"/>
      <c r="F23" s="723"/>
      <c r="G23" s="221"/>
    </row>
    <row r="24" spans="2:7" ht="24" x14ac:dyDescent="0.15">
      <c r="B24" s="729"/>
      <c r="C24" s="321" t="s">
        <v>222</v>
      </c>
      <c r="D24" s="644"/>
      <c r="E24" s="315" t="s">
        <v>123</v>
      </c>
      <c r="F24" s="497">
        <v>11046</v>
      </c>
      <c r="G24" s="221"/>
    </row>
    <row r="25" spans="2:7" ht="36" x14ac:dyDescent="0.15">
      <c r="B25" s="730"/>
      <c r="C25" s="321" t="s">
        <v>224</v>
      </c>
      <c r="D25" s="645"/>
      <c r="E25" s="158" t="s">
        <v>69</v>
      </c>
      <c r="F25" s="417">
        <v>66</v>
      </c>
    </row>
    <row r="26" spans="2:7" ht="13.25" customHeight="1" x14ac:dyDescent="0.15">
      <c r="B26" s="213" t="s">
        <v>74</v>
      </c>
      <c r="C26" s="130"/>
      <c r="D26" s="50"/>
      <c r="E26" s="130"/>
      <c r="F26" s="496">
        <f>SUM(F22:F25)</f>
        <v>74003</v>
      </c>
    </row>
    <row r="27" spans="2:7" ht="27.5" customHeight="1" x14ac:dyDescent="0.15">
      <c r="B27" s="694" t="s">
        <v>234</v>
      </c>
      <c r="C27" s="719" t="s">
        <v>237</v>
      </c>
      <c r="D27" s="646" t="s">
        <v>72</v>
      </c>
      <c r="E27" s="116" t="s">
        <v>63</v>
      </c>
      <c r="F27" s="498"/>
    </row>
    <row r="28" spans="2:7" ht="16" customHeight="1" x14ac:dyDescent="0.15">
      <c r="B28" s="712"/>
      <c r="C28" s="720"/>
      <c r="D28" s="647"/>
      <c r="E28" s="115" t="s">
        <v>123</v>
      </c>
      <c r="F28" s="448"/>
    </row>
    <row r="29" spans="2:7" ht="36" x14ac:dyDescent="0.15">
      <c r="B29" s="695"/>
      <c r="C29" s="721"/>
      <c r="D29" s="648"/>
      <c r="E29" s="116" t="s">
        <v>69</v>
      </c>
      <c r="F29" s="448"/>
    </row>
    <row r="30" spans="2:7" x14ac:dyDescent="0.15">
      <c r="B30" s="213" t="s">
        <v>74</v>
      </c>
      <c r="C30" s="130"/>
      <c r="D30" s="50"/>
      <c r="E30" s="130"/>
      <c r="F30" s="496">
        <f>SUM(F27:F29)</f>
        <v>0</v>
      </c>
    </row>
    <row r="31" spans="2:7" ht="24" x14ac:dyDescent="0.15">
      <c r="B31" s="649" t="s">
        <v>235</v>
      </c>
      <c r="C31" s="322" t="s">
        <v>238</v>
      </c>
      <c r="D31" s="647" t="s">
        <v>72</v>
      </c>
      <c r="E31" s="116" t="s">
        <v>63</v>
      </c>
      <c r="F31" s="498">
        <v>33694</v>
      </c>
      <c r="G31" s="222">
        <f>C66+C77</f>
        <v>621846.80000000005</v>
      </c>
    </row>
    <row r="32" spans="2:7" ht="24" customHeight="1" x14ac:dyDescent="0.15">
      <c r="B32" s="650"/>
      <c r="C32" s="322" t="s">
        <v>239</v>
      </c>
      <c r="D32" s="647"/>
      <c r="E32" s="115" t="s">
        <v>123</v>
      </c>
      <c r="F32" s="498">
        <v>3744</v>
      </c>
    </row>
    <row r="33" spans="2:6" ht="27" customHeight="1" x14ac:dyDescent="0.15">
      <c r="B33" s="651"/>
      <c r="C33" s="322" t="s">
        <v>350</v>
      </c>
      <c r="D33" s="648"/>
      <c r="E33" s="116" t="s">
        <v>69</v>
      </c>
      <c r="F33" s="448">
        <v>0</v>
      </c>
    </row>
    <row r="34" spans="2:6" x14ac:dyDescent="0.15">
      <c r="B34" s="213" t="s">
        <v>74</v>
      </c>
      <c r="C34" s="130"/>
      <c r="D34" s="50"/>
      <c r="E34" s="130"/>
      <c r="F34" s="496">
        <f>SUM(F31:F33)</f>
        <v>37438</v>
      </c>
    </row>
    <row r="35" spans="2:6" ht="33" customHeight="1" x14ac:dyDescent="0.15">
      <c r="B35" s="632" t="s">
        <v>236</v>
      </c>
      <c r="C35" s="323" t="s">
        <v>240</v>
      </c>
      <c r="D35" s="624" t="s">
        <v>72</v>
      </c>
      <c r="E35" s="116" t="s">
        <v>63</v>
      </c>
      <c r="F35" s="499">
        <v>50541</v>
      </c>
    </row>
    <row r="36" spans="2:6" ht="33.5" customHeight="1" x14ac:dyDescent="0.15">
      <c r="B36" s="637"/>
      <c r="C36" s="323" t="s">
        <v>241</v>
      </c>
      <c r="D36" s="625"/>
      <c r="E36" s="115" t="s">
        <v>123</v>
      </c>
      <c r="F36" s="499">
        <v>5616</v>
      </c>
    </row>
    <row r="37" spans="2:6" ht="33.5" customHeight="1" x14ac:dyDescent="0.15">
      <c r="B37" s="637"/>
      <c r="C37" s="323" t="s">
        <v>360</v>
      </c>
      <c r="D37" s="625"/>
      <c r="E37" s="694" t="s">
        <v>69</v>
      </c>
      <c r="F37" s="713">
        <v>0</v>
      </c>
    </row>
    <row r="38" spans="2:6" ht="38" customHeight="1" x14ac:dyDescent="0.15">
      <c r="B38" s="633"/>
      <c r="C38" s="323" t="s">
        <v>359</v>
      </c>
      <c r="D38" s="626"/>
      <c r="E38" s="695"/>
      <c r="F38" s="715"/>
    </row>
    <row r="39" spans="2:6" x14ac:dyDescent="0.15">
      <c r="B39" s="213" t="s">
        <v>74</v>
      </c>
      <c r="C39" s="130"/>
      <c r="D39" s="50"/>
      <c r="E39" s="130"/>
      <c r="F39" s="496">
        <f>SUM(F35:F37)</f>
        <v>56157</v>
      </c>
    </row>
    <row r="40" spans="2:6" x14ac:dyDescent="0.15">
      <c r="B40" s="172" t="s">
        <v>77</v>
      </c>
      <c r="C40" s="166"/>
      <c r="D40" s="166"/>
      <c r="E40" s="166"/>
      <c r="F40" s="450">
        <f>F39+F34+F30+F26+F21</f>
        <v>621846.80000000005</v>
      </c>
    </row>
    <row r="41" spans="2:6" x14ac:dyDescent="0.15">
      <c r="B41" s="169" t="s">
        <v>167</v>
      </c>
      <c r="C41" s="169"/>
      <c r="D41" s="169"/>
      <c r="E41" s="169"/>
      <c r="F41" s="436">
        <f>0.07*F40</f>
        <v>43529.276000000005</v>
      </c>
    </row>
    <row r="42" spans="2:6" x14ac:dyDescent="0.15">
      <c r="B42" s="172" t="s">
        <v>149</v>
      </c>
      <c r="C42" s="166"/>
      <c r="D42" s="166"/>
      <c r="E42" s="166"/>
      <c r="F42" s="450">
        <f>SUM(F40:F41)</f>
        <v>665376.076</v>
      </c>
    </row>
    <row r="43" spans="2:6" x14ac:dyDescent="0.15">
      <c r="F43" s="442"/>
    </row>
    <row r="44" spans="2:6" x14ac:dyDescent="0.15">
      <c r="F44" s="442"/>
    </row>
    <row r="45" spans="2:6" x14ac:dyDescent="0.15">
      <c r="B45" s="173" t="s">
        <v>168</v>
      </c>
      <c r="C45" s="173" t="s">
        <v>2</v>
      </c>
      <c r="D45" s="173" t="s">
        <v>71</v>
      </c>
      <c r="E45" s="173" t="s">
        <v>72</v>
      </c>
      <c r="F45" s="451" t="s">
        <v>1</v>
      </c>
    </row>
    <row r="46" spans="2:6" x14ac:dyDescent="0.15">
      <c r="B46" s="135" t="s">
        <v>63</v>
      </c>
      <c r="C46" s="433">
        <f>F22+F17</f>
        <v>96756</v>
      </c>
      <c r="D46" s="434">
        <f>F7</f>
        <v>357372.8</v>
      </c>
      <c r="E46" s="435">
        <f>F27+F31+F35</f>
        <v>84235</v>
      </c>
      <c r="F46" s="436">
        <f>SUM(C46:E46)</f>
        <v>538363.80000000005</v>
      </c>
    </row>
    <row r="47" spans="2:6" x14ac:dyDescent="0.15">
      <c r="B47" s="135" t="s">
        <v>123</v>
      </c>
      <c r="C47" s="433">
        <f>F24+F18</f>
        <v>16994</v>
      </c>
      <c r="D47" s="434">
        <f>F13</f>
        <v>38335.5</v>
      </c>
      <c r="E47" s="435">
        <f>F36+F32+F28</f>
        <v>9360</v>
      </c>
      <c r="F47" s="436">
        <f>SUM(C47:E47)</f>
        <v>64689.5</v>
      </c>
    </row>
    <row r="48" spans="2:6" x14ac:dyDescent="0.15">
      <c r="B48" s="136" t="s">
        <v>69</v>
      </c>
      <c r="C48" s="433">
        <f>F25+F19</f>
        <v>102</v>
      </c>
      <c r="D48" s="434">
        <f>F15</f>
        <v>18691.5</v>
      </c>
      <c r="E48" s="435">
        <f>F37+F33+F29</f>
        <v>0</v>
      </c>
      <c r="F48" s="436">
        <f>SUM(C48:E48)</f>
        <v>18793.5</v>
      </c>
    </row>
    <row r="49" spans="2:6" x14ac:dyDescent="0.15">
      <c r="B49" s="179" t="s">
        <v>169</v>
      </c>
      <c r="C49" s="437">
        <f>SUM(C46:C48)</f>
        <v>113852</v>
      </c>
      <c r="D49" s="437">
        <f>SUM(D46:D48)</f>
        <v>414399.8</v>
      </c>
      <c r="E49" s="437">
        <f>SUM(E46:E48)</f>
        <v>93595</v>
      </c>
      <c r="F49" s="437">
        <f>SUM(F46:F48)</f>
        <v>621846.80000000005</v>
      </c>
    </row>
    <row r="50" spans="2:6" x14ac:dyDescent="0.15">
      <c r="B50" s="169" t="s">
        <v>121</v>
      </c>
      <c r="C50" s="433">
        <f>0.07*C49</f>
        <v>7969.64</v>
      </c>
      <c r="D50" s="434">
        <f>0.07*D49</f>
        <v>29007.986000000001</v>
      </c>
      <c r="E50" s="435">
        <f>0.07*E49</f>
        <v>6551.6500000000005</v>
      </c>
      <c r="F50" s="436">
        <f>0.07*F49</f>
        <v>43529.276000000005</v>
      </c>
    </row>
    <row r="51" spans="2:6" x14ac:dyDescent="0.15">
      <c r="B51" s="185" t="s">
        <v>1</v>
      </c>
      <c r="C51" s="438">
        <f>SUM(C49:C50)</f>
        <v>121821.64</v>
      </c>
      <c r="D51" s="439">
        <f>SUM(D49:D50)</f>
        <v>443407.78599999996</v>
      </c>
      <c r="E51" s="440">
        <f>SUM(E49:E50)</f>
        <v>100146.65</v>
      </c>
      <c r="F51" s="441">
        <f>SUM(F49:F50)</f>
        <v>665376.076</v>
      </c>
    </row>
    <row r="52" spans="2:6" x14ac:dyDescent="0.15">
      <c r="F52" s="442"/>
    </row>
    <row r="53" spans="2:6" x14ac:dyDescent="0.15">
      <c r="F53" s="442"/>
    </row>
    <row r="54" spans="2:6" ht="25" thickBot="1" x14ac:dyDescent="0.2">
      <c r="B54" s="187" t="s">
        <v>170</v>
      </c>
      <c r="C54" s="500">
        <f>'Comparaison 2020 '!F16</f>
        <v>113851</v>
      </c>
      <c r="D54" s="500">
        <f>'Comparaison 2020 '!G16</f>
        <v>414400</v>
      </c>
      <c r="E54" s="500">
        <f>'Comparaison 2020 '!H16</f>
        <v>93595</v>
      </c>
      <c r="F54" s="500">
        <f>'Comparaison 2020 '!I16</f>
        <v>621846</v>
      </c>
    </row>
    <row r="55" spans="2:6" ht="13" thickTop="1" x14ac:dyDescent="0.15"/>
    <row r="57" spans="2:6" ht="32.25" customHeight="1" x14ac:dyDescent="0.15">
      <c r="B57" s="623" t="s">
        <v>187</v>
      </c>
      <c r="C57" s="623"/>
      <c r="D57" s="623"/>
      <c r="E57" s="623"/>
      <c r="F57" s="623"/>
    </row>
    <row r="58" spans="2:6" x14ac:dyDescent="0.15">
      <c r="B58" s="190" t="s">
        <v>62</v>
      </c>
      <c r="C58" s="191" t="s">
        <v>59</v>
      </c>
      <c r="D58" s="192" t="s">
        <v>2</v>
      </c>
      <c r="E58" s="207" t="s">
        <v>71</v>
      </c>
      <c r="F58" s="192" t="s">
        <v>72</v>
      </c>
    </row>
    <row r="59" spans="2:6" x14ac:dyDescent="0.15">
      <c r="B59" s="169" t="s">
        <v>63</v>
      </c>
      <c r="C59" s="194">
        <f>D59+E59+F59</f>
        <v>0</v>
      </c>
      <c r="D59" s="195"/>
      <c r="E59" s="176"/>
      <c r="F59" s="197"/>
    </row>
    <row r="60" spans="2:6" x14ac:dyDescent="0.15">
      <c r="B60" s="169" t="s">
        <v>64</v>
      </c>
      <c r="C60" s="194">
        <f t="shared" ref="C60:C65" si="0">D60+E60+F60</f>
        <v>0</v>
      </c>
      <c r="D60" s="195"/>
      <c r="E60" s="176"/>
      <c r="F60" s="197"/>
    </row>
    <row r="61" spans="2:6" x14ac:dyDescent="0.15">
      <c r="B61" s="170" t="s">
        <v>65</v>
      </c>
      <c r="C61" s="194">
        <f t="shared" si="0"/>
        <v>0</v>
      </c>
      <c r="D61" s="195"/>
      <c r="E61" s="176"/>
      <c r="F61" s="197"/>
    </row>
    <row r="62" spans="2:6" x14ac:dyDescent="0.15">
      <c r="B62" s="169" t="s">
        <v>66</v>
      </c>
      <c r="C62" s="194">
        <f t="shared" si="0"/>
        <v>0</v>
      </c>
      <c r="D62" s="195"/>
      <c r="E62" s="176"/>
      <c r="F62" s="197"/>
    </row>
    <row r="63" spans="2:6" x14ac:dyDescent="0.15">
      <c r="B63" s="169" t="s">
        <v>123</v>
      </c>
      <c r="C63" s="194">
        <f t="shared" si="0"/>
        <v>0</v>
      </c>
      <c r="D63" s="195"/>
      <c r="E63" s="176"/>
      <c r="F63" s="197"/>
    </row>
    <row r="64" spans="2:6" x14ac:dyDescent="0.15">
      <c r="B64" s="170" t="s">
        <v>68</v>
      </c>
      <c r="C64" s="194">
        <f t="shared" si="0"/>
        <v>0</v>
      </c>
      <c r="D64" s="195"/>
      <c r="E64" s="176"/>
      <c r="F64" s="197"/>
    </row>
    <row r="65" spans="2:6" x14ac:dyDescent="0.15">
      <c r="B65" s="170" t="s">
        <v>69</v>
      </c>
      <c r="C65" s="194">
        <f t="shared" si="0"/>
        <v>0</v>
      </c>
      <c r="D65" s="195"/>
      <c r="E65" s="176"/>
      <c r="F65" s="197"/>
    </row>
    <row r="66" spans="2:6" x14ac:dyDescent="0.15">
      <c r="B66" s="134" t="s">
        <v>74</v>
      </c>
      <c r="C66" s="198">
        <f>SUM(C59:C65)</f>
        <v>0</v>
      </c>
      <c r="D66" s="198">
        <f>SUM(D59:D65)</f>
        <v>0</v>
      </c>
      <c r="E66" s="198">
        <f>SUM(E59:E65)</f>
        <v>0</v>
      </c>
      <c r="F66" s="198">
        <f>SUM(F59:F65)</f>
        <v>0</v>
      </c>
    </row>
    <row r="68" spans="2:6" ht="28.5" customHeight="1" x14ac:dyDescent="0.15">
      <c r="B68" s="620" t="s">
        <v>242</v>
      </c>
      <c r="C68" s="621"/>
      <c r="D68" s="621"/>
      <c r="E68" s="621"/>
      <c r="F68" s="622"/>
    </row>
    <row r="69" spans="2:6" x14ac:dyDescent="0.15">
      <c r="B69" s="190" t="s">
        <v>62</v>
      </c>
      <c r="C69" s="191" t="s">
        <v>59</v>
      </c>
      <c r="D69" s="192" t="s">
        <v>2</v>
      </c>
      <c r="E69" s="207" t="s">
        <v>71</v>
      </c>
      <c r="F69" s="192" t="s">
        <v>72</v>
      </c>
    </row>
    <row r="70" spans="2:6" x14ac:dyDescent="0.15">
      <c r="B70" s="169" t="s">
        <v>63</v>
      </c>
      <c r="C70" s="444">
        <f>D70+E70+F70</f>
        <v>538363.80000000005</v>
      </c>
      <c r="D70" s="433">
        <f>+C46</f>
        <v>96756</v>
      </c>
      <c r="E70" s="434">
        <f>+D46</f>
        <v>357372.8</v>
      </c>
      <c r="F70" s="435">
        <f>+E46</f>
        <v>84235</v>
      </c>
    </row>
    <row r="71" spans="2:6" x14ac:dyDescent="0.15">
      <c r="B71" s="169" t="s">
        <v>64</v>
      </c>
      <c r="C71" s="444">
        <f t="shared" ref="C71:C76" si="1">D71+E71+F71</f>
        <v>0</v>
      </c>
      <c r="D71" s="433"/>
      <c r="E71" s="434"/>
      <c r="F71" s="435"/>
    </row>
    <row r="72" spans="2:6" x14ac:dyDescent="0.15">
      <c r="B72" s="170" t="s">
        <v>65</v>
      </c>
      <c r="C72" s="444">
        <f t="shared" si="1"/>
        <v>0</v>
      </c>
      <c r="D72" s="433"/>
      <c r="E72" s="434"/>
      <c r="F72" s="435"/>
    </row>
    <row r="73" spans="2:6" x14ac:dyDescent="0.15">
      <c r="B73" s="169" t="s">
        <v>66</v>
      </c>
      <c r="C73" s="444">
        <f t="shared" si="1"/>
        <v>0</v>
      </c>
      <c r="D73" s="433"/>
      <c r="E73" s="434"/>
      <c r="F73" s="435"/>
    </row>
    <row r="74" spans="2:6" x14ac:dyDescent="0.15">
      <c r="B74" s="169" t="s">
        <v>123</v>
      </c>
      <c r="C74" s="444">
        <f t="shared" si="1"/>
        <v>64689.5</v>
      </c>
      <c r="D74" s="433">
        <f>+C47</f>
        <v>16994</v>
      </c>
      <c r="E74" s="434">
        <f>+D47</f>
        <v>38335.5</v>
      </c>
      <c r="F74" s="435">
        <f>+E47</f>
        <v>9360</v>
      </c>
    </row>
    <row r="75" spans="2:6" x14ac:dyDescent="0.15">
      <c r="B75" s="170" t="s">
        <v>68</v>
      </c>
      <c r="C75" s="444">
        <f t="shared" si="1"/>
        <v>0</v>
      </c>
      <c r="D75" s="433"/>
      <c r="E75" s="434"/>
      <c r="F75" s="435"/>
    </row>
    <row r="76" spans="2:6" x14ac:dyDescent="0.15">
      <c r="B76" s="170" t="s">
        <v>69</v>
      </c>
      <c r="C76" s="444">
        <f t="shared" si="1"/>
        <v>18793.5</v>
      </c>
      <c r="D76" s="433">
        <f>+C48</f>
        <v>102</v>
      </c>
      <c r="E76" s="434">
        <f>+D48</f>
        <v>18691.5</v>
      </c>
      <c r="F76" s="435">
        <f>+E48</f>
        <v>0</v>
      </c>
    </row>
    <row r="77" spans="2:6" x14ac:dyDescent="0.15">
      <c r="B77" s="134" t="s">
        <v>74</v>
      </c>
      <c r="C77" s="445">
        <f>SUM(C70:C76)</f>
        <v>621846.80000000005</v>
      </c>
      <c r="D77" s="445">
        <f>SUM(D70:D76)</f>
        <v>113852</v>
      </c>
      <c r="E77" s="445">
        <f>SUM(E70:E76)</f>
        <v>414399.8</v>
      </c>
      <c r="F77" s="445">
        <f>SUM(F70:F76)</f>
        <v>93595</v>
      </c>
    </row>
  </sheetData>
  <mergeCells count="30">
    <mergeCell ref="B4:F4"/>
    <mergeCell ref="E5:F5"/>
    <mergeCell ref="D7:D15"/>
    <mergeCell ref="B5:B6"/>
    <mergeCell ref="E22:E23"/>
    <mergeCell ref="F22:F23"/>
    <mergeCell ref="E7:E12"/>
    <mergeCell ref="E13:E14"/>
    <mergeCell ref="F13:F14"/>
    <mergeCell ref="F7:F12"/>
    <mergeCell ref="C5:C6"/>
    <mergeCell ref="D5:D6"/>
    <mergeCell ref="B22:B25"/>
    <mergeCell ref="C16:D16"/>
    <mergeCell ref="D17:D19"/>
    <mergeCell ref="C17:C19"/>
    <mergeCell ref="C20:D20"/>
    <mergeCell ref="B7:B20"/>
    <mergeCell ref="B27:B29"/>
    <mergeCell ref="D27:D29"/>
    <mergeCell ref="D22:D25"/>
    <mergeCell ref="C27:C29"/>
    <mergeCell ref="B31:B33"/>
    <mergeCell ref="B68:F68"/>
    <mergeCell ref="B57:F57"/>
    <mergeCell ref="B35:B38"/>
    <mergeCell ref="D35:D38"/>
    <mergeCell ref="D31:D33"/>
    <mergeCell ref="E37:E38"/>
    <mergeCell ref="F37:F38"/>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G56"/>
  <sheetViews>
    <sheetView showGridLines="0" topLeftCell="B21" zoomScale="125" zoomScaleNormal="125" zoomScalePageLayoutView="125" workbookViewId="0">
      <selection activeCell="C51" sqref="C51"/>
    </sheetView>
  </sheetViews>
  <sheetFormatPr baseColWidth="10" defaultColWidth="9.1640625" defaultRowHeight="12" x14ac:dyDescent="0.2"/>
  <cols>
    <col min="1" max="1" width="2" style="182" customWidth="1"/>
    <col min="2" max="2" width="48.33203125" style="182" customWidth="1"/>
    <col min="3" max="3" width="62.1640625" style="182" bestFit="1" customWidth="1"/>
    <col min="4" max="4" width="11.1640625" style="182" customWidth="1"/>
    <col min="5" max="5" width="18.6640625" style="183" customWidth="1"/>
    <col min="6" max="6" width="14.5" style="182" customWidth="1"/>
    <col min="7" max="7" width="16.33203125" style="182" customWidth="1"/>
    <col min="8" max="16384" width="9.1640625" style="182"/>
  </cols>
  <sheetData>
    <row r="3" spans="2:6" x14ac:dyDescent="0.2">
      <c r="B3" s="132" t="s">
        <v>266</v>
      </c>
      <c r="C3" s="132"/>
      <c r="D3" s="132"/>
      <c r="E3" s="146"/>
      <c r="F3" s="133"/>
    </row>
    <row r="4" spans="2:6" ht="21" customHeight="1" x14ac:dyDescent="0.2">
      <c r="B4" s="623" t="s">
        <v>187</v>
      </c>
      <c r="C4" s="623"/>
      <c r="D4" s="623"/>
      <c r="E4" s="623"/>
      <c r="F4" s="623"/>
    </row>
    <row r="5" spans="2:6" ht="21" customHeight="1" x14ac:dyDescent="0.2">
      <c r="B5" s="640" t="s">
        <v>106</v>
      </c>
      <c r="C5" s="640" t="s">
        <v>107</v>
      </c>
      <c r="D5" s="640" t="s">
        <v>108</v>
      </c>
      <c r="E5" s="642" t="s">
        <v>109</v>
      </c>
      <c r="F5" s="642"/>
    </row>
    <row r="6" spans="2:6" ht="27.75" customHeight="1" x14ac:dyDescent="0.2">
      <c r="B6" s="641"/>
      <c r="C6" s="641"/>
      <c r="D6" s="641"/>
      <c r="E6" s="467" t="s">
        <v>62</v>
      </c>
      <c r="F6" s="467" t="s">
        <v>110</v>
      </c>
    </row>
    <row r="7" spans="2:6" ht="24.75" customHeight="1" x14ac:dyDescent="0.2">
      <c r="B7" s="606" t="s">
        <v>256</v>
      </c>
      <c r="C7" s="118" t="s">
        <v>363</v>
      </c>
      <c r="D7" s="643" t="s">
        <v>2</v>
      </c>
      <c r="E7" s="660" t="s">
        <v>63</v>
      </c>
      <c r="F7" s="733">
        <v>99110.801487692996</v>
      </c>
    </row>
    <row r="8" spans="2:6" x14ac:dyDescent="0.2">
      <c r="B8" s="607"/>
      <c r="C8" s="118" t="s">
        <v>364</v>
      </c>
      <c r="D8" s="644"/>
      <c r="E8" s="660"/>
      <c r="F8" s="734"/>
    </row>
    <row r="9" spans="2:6" x14ac:dyDescent="0.2">
      <c r="B9" s="607"/>
      <c r="C9" s="118" t="s">
        <v>365</v>
      </c>
      <c r="D9" s="644"/>
      <c r="E9" s="158" t="s">
        <v>123</v>
      </c>
      <c r="F9" s="417">
        <v>16500</v>
      </c>
    </row>
    <row r="10" spans="2:6" ht="36" x14ac:dyDescent="0.2">
      <c r="B10" s="608"/>
      <c r="C10" s="118" t="s">
        <v>366</v>
      </c>
      <c r="D10" s="645"/>
      <c r="E10" s="158" t="s">
        <v>69</v>
      </c>
      <c r="F10" s="417">
        <v>7715.31</v>
      </c>
    </row>
    <row r="11" spans="2:6" x14ac:dyDescent="0.2">
      <c r="B11" s="213" t="s">
        <v>182</v>
      </c>
      <c r="C11" s="130"/>
      <c r="D11" s="50"/>
      <c r="E11" s="130"/>
      <c r="F11" s="496">
        <f>SUM(F7:F10)</f>
        <v>123326.11148769299</v>
      </c>
    </row>
    <row r="12" spans="2:6" ht="30.75" customHeight="1" x14ac:dyDescent="0.2">
      <c r="B12" s="620" t="s">
        <v>242</v>
      </c>
      <c r="C12" s="621"/>
      <c r="D12" s="621"/>
      <c r="E12" s="621"/>
      <c r="F12" s="622"/>
    </row>
    <row r="13" spans="2:6" ht="12" customHeight="1" x14ac:dyDescent="0.2">
      <c r="B13" s="640" t="s">
        <v>106</v>
      </c>
      <c r="C13" s="640" t="s">
        <v>107</v>
      </c>
      <c r="D13" s="640" t="s">
        <v>108</v>
      </c>
      <c r="E13" s="642" t="s">
        <v>109</v>
      </c>
      <c r="F13" s="642"/>
    </row>
    <row r="14" spans="2:6" x14ac:dyDescent="0.2">
      <c r="B14" s="641"/>
      <c r="C14" s="641"/>
      <c r="D14" s="641"/>
      <c r="E14" s="467" t="s">
        <v>62</v>
      </c>
      <c r="F14" s="467" t="s">
        <v>110</v>
      </c>
    </row>
    <row r="15" spans="2:6" ht="25.5" customHeight="1" x14ac:dyDescent="0.2">
      <c r="B15" s="606" t="s">
        <v>244</v>
      </c>
      <c r="C15" s="118" t="s">
        <v>367</v>
      </c>
      <c r="D15" s="643" t="s">
        <v>2</v>
      </c>
      <c r="E15" s="155" t="s">
        <v>63</v>
      </c>
      <c r="F15" s="417">
        <f>102131.301487693-3020.5</f>
        <v>99110.801487692996</v>
      </c>
    </row>
    <row r="16" spans="2:6" ht="24" x14ac:dyDescent="0.2">
      <c r="B16" s="607"/>
      <c r="C16" s="118" t="s">
        <v>245</v>
      </c>
      <c r="D16" s="644"/>
      <c r="E16" s="158" t="s">
        <v>123</v>
      </c>
      <c r="F16" s="417">
        <f>(2*3000)+(14*300)</f>
        <v>10200</v>
      </c>
    </row>
    <row r="17" spans="2:7" ht="27" customHeight="1" x14ac:dyDescent="0.2">
      <c r="B17" s="607"/>
      <c r="C17" s="118" t="s">
        <v>361</v>
      </c>
      <c r="D17" s="644"/>
      <c r="E17" s="606" t="s">
        <v>69</v>
      </c>
      <c r="F17" s="731">
        <f>15430.62/2</f>
        <v>7715.31</v>
      </c>
    </row>
    <row r="18" spans="2:7" ht="24" x14ac:dyDescent="0.2">
      <c r="B18" s="608"/>
      <c r="C18" s="118" t="s">
        <v>362</v>
      </c>
      <c r="D18" s="645"/>
      <c r="E18" s="608"/>
      <c r="F18" s="732"/>
    </row>
    <row r="19" spans="2:7" x14ac:dyDescent="0.2">
      <c r="B19" s="213" t="s">
        <v>182</v>
      </c>
      <c r="C19" s="130"/>
      <c r="D19" s="50"/>
      <c r="E19" s="130"/>
      <c r="F19" s="496">
        <f>F15+F17+F16</f>
        <v>117026.11148769299</v>
      </c>
    </row>
    <row r="20" spans="2:7" x14ac:dyDescent="0.2">
      <c r="B20" s="172" t="s">
        <v>77</v>
      </c>
      <c r="C20" s="166"/>
      <c r="D20" s="166"/>
      <c r="E20" s="167"/>
      <c r="F20" s="450">
        <f>F19+F11</f>
        <v>240352.22297538599</v>
      </c>
      <c r="G20" s="221"/>
    </row>
    <row r="21" spans="2:7" x14ac:dyDescent="0.2">
      <c r="B21" s="169" t="s">
        <v>167</v>
      </c>
      <c r="C21" s="169"/>
      <c r="D21" s="169"/>
      <c r="E21" s="170"/>
      <c r="F21" s="436">
        <f>0.07*F20</f>
        <v>16824.655608277022</v>
      </c>
      <c r="G21" s="221"/>
    </row>
    <row r="22" spans="2:7" x14ac:dyDescent="0.2">
      <c r="B22" s="172" t="s">
        <v>149</v>
      </c>
      <c r="C22" s="166"/>
      <c r="D22" s="166"/>
      <c r="E22" s="167"/>
      <c r="F22" s="450">
        <f>SUM(F20:F21)</f>
        <v>257176.878583663</v>
      </c>
      <c r="G22" s="221"/>
    </row>
    <row r="25" spans="2:7" x14ac:dyDescent="0.2">
      <c r="B25" s="173" t="s">
        <v>168</v>
      </c>
      <c r="C25" s="173" t="s">
        <v>2</v>
      </c>
      <c r="D25" s="173" t="s">
        <v>71</v>
      </c>
      <c r="E25" s="174" t="s">
        <v>72</v>
      </c>
      <c r="F25" s="451" t="s">
        <v>1</v>
      </c>
    </row>
    <row r="26" spans="2:7" x14ac:dyDescent="0.2">
      <c r="B26" s="135" t="s">
        <v>63</v>
      </c>
      <c r="C26" s="175">
        <f>F7+F15</f>
        <v>198221.60297538599</v>
      </c>
      <c r="D26" s="176"/>
      <c r="E26" s="177"/>
      <c r="F26" s="436">
        <f t="shared" ref="F26:F31" si="0">SUM(C26:E26)</f>
        <v>198221.60297538599</v>
      </c>
    </row>
    <row r="27" spans="2:7" x14ac:dyDescent="0.2">
      <c r="B27" s="135" t="s">
        <v>123</v>
      </c>
      <c r="C27" s="175">
        <f>F16+F9</f>
        <v>26700</v>
      </c>
      <c r="D27" s="176"/>
      <c r="E27" s="177"/>
      <c r="F27" s="436">
        <f t="shared" si="0"/>
        <v>26700</v>
      </c>
    </row>
    <row r="28" spans="2:7" x14ac:dyDescent="0.2">
      <c r="B28" s="136" t="s">
        <v>69</v>
      </c>
      <c r="C28" s="175">
        <f>F17+F10</f>
        <v>15430.62</v>
      </c>
      <c r="D28" s="176"/>
      <c r="E28" s="177"/>
      <c r="F28" s="436">
        <f t="shared" si="0"/>
        <v>15430.62</v>
      </c>
    </row>
    <row r="29" spans="2:7" x14ac:dyDescent="0.2">
      <c r="B29" s="179" t="s">
        <v>169</v>
      </c>
      <c r="C29" s="180">
        <f>C26+C27+C28</f>
        <v>240352.22297538599</v>
      </c>
      <c r="D29" s="180"/>
      <c r="E29" s="181"/>
      <c r="F29" s="437">
        <f t="shared" si="0"/>
        <v>240352.22297538599</v>
      </c>
      <c r="G29" s="222">
        <f>C45+C56</f>
        <v>240352.22297538599</v>
      </c>
    </row>
    <row r="30" spans="2:7" x14ac:dyDescent="0.2">
      <c r="B30" s="169" t="s">
        <v>121</v>
      </c>
      <c r="C30" s="195">
        <f>0.07*C29</f>
        <v>16824.655608277022</v>
      </c>
      <c r="D30" s="176"/>
      <c r="E30" s="211"/>
      <c r="F30" s="436">
        <f t="shared" si="0"/>
        <v>16824.655608277022</v>
      </c>
    </row>
    <row r="31" spans="2:7" x14ac:dyDescent="0.2">
      <c r="B31" s="185" t="s">
        <v>1</v>
      </c>
      <c r="C31" s="205">
        <f>C30+C29</f>
        <v>257176.878583663</v>
      </c>
      <c r="D31" s="212"/>
      <c r="E31" s="216"/>
      <c r="F31" s="441">
        <f t="shared" si="0"/>
        <v>257176.878583663</v>
      </c>
    </row>
    <row r="32" spans="2:7" x14ac:dyDescent="0.2">
      <c r="F32" s="442"/>
    </row>
    <row r="33" spans="2:6" ht="13" thickBot="1" x14ac:dyDescent="0.25">
      <c r="B33" s="187" t="s">
        <v>170</v>
      </c>
      <c r="C33" s="443">
        <f>'Comparaison 2020 '!F7</f>
        <v>240352</v>
      </c>
      <c r="D33" s="188">
        <f>'Comparaison 2020 '!G7</f>
        <v>0</v>
      </c>
      <c r="E33" s="189">
        <f>'Comparaison 2020 '!H7</f>
        <v>0</v>
      </c>
      <c r="F33" s="443">
        <f>'Comparaison 2020 '!I7</f>
        <v>240352</v>
      </c>
    </row>
    <row r="34" spans="2:6" ht="13" thickTop="1" x14ac:dyDescent="0.2"/>
    <row r="36" spans="2:6" ht="12" customHeight="1" x14ac:dyDescent="0.2">
      <c r="B36" s="623" t="s">
        <v>187</v>
      </c>
      <c r="C36" s="623"/>
      <c r="D36" s="623"/>
      <c r="E36" s="623"/>
      <c r="F36" s="623"/>
    </row>
    <row r="37" spans="2:6" x14ac:dyDescent="0.2">
      <c r="B37" s="190" t="s">
        <v>62</v>
      </c>
      <c r="C37" s="191" t="s">
        <v>59</v>
      </c>
      <c r="D37" s="192" t="s">
        <v>2</v>
      </c>
      <c r="E37" s="193" t="s">
        <v>71</v>
      </c>
      <c r="F37" s="192" t="s">
        <v>72</v>
      </c>
    </row>
    <row r="38" spans="2:6" x14ac:dyDescent="0.2">
      <c r="B38" s="169" t="s">
        <v>63</v>
      </c>
      <c r="C38" s="444">
        <f>D38+E38+F38</f>
        <v>99110.801487692996</v>
      </c>
      <c r="D38" s="433">
        <f>+F7</f>
        <v>99110.801487692996</v>
      </c>
      <c r="E38" s="196"/>
      <c r="F38" s="197"/>
    </row>
    <row r="39" spans="2:6" x14ac:dyDescent="0.2">
      <c r="B39" s="169" t="s">
        <v>64</v>
      </c>
      <c r="C39" s="444">
        <f t="shared" ref="C39:C44" si="1">D39+E39+F39</f>
        <v>0</v>
      </c>
      <c r="D39" s="433"/>
      <c r="E39" s="196"/>
      <c r="F39" s="197"/>
    </row>
    <row r="40" spans="2:6" x14ac:dyDescent="0.2">
      <c r="B40" s="170" t="s">
        <v>65</v>
      </c>
      <c r="C40" s="444">
        <f t="shared" si="1"/>
        <v>0</v>
      </c>
      <c r="D40" s="433"/>
      <c r="E40" s="196"/>
      <c r="F40" s="197"/>
    </row>
    <row r="41" spans="2:6" x14ac:dyDescent="0.2">
      <c r="B41" s="169" t="s">
        <v>66</v>
      </c>
      <c r="C41" s="444">
        <f t="shared" si="1"/>
        <v>0</v>
      </c>
      <c r="D41" s="433"/>
      <c r="E41" s="196"/>
      <c r="F41" s="197"/>
    </row>
    <row r="42" spans="2:6" x14ac:dyDescent="0.2">
      <c r="B42" s="169" t="s">
        <v>123</v>
      </c>
      <c r="C42" s="444">
        <f t="shared" si="1"/>
        <v>16500</v>
      </c>
      <c r="D42" s="433">
        <f>+F9</f>
        <v>16500</v>
      </c>
      <c r="E42" s="196"/>
      <c r="F42" s="197"/>
    </row>
    <row r="43" spans="2:6" x14ac:dyDescent="0.2">
      <c r="B43" s="170" t="s">
        <v>68</v>
      </c>
      <c r="C43" s="444">
        <f t="shared" si="1"/>
        <v>0</v>
      </c>
      <c r="D43" s="433"/>
      <c r="E43" s="196"/>
      <c r="F43" s="197"/>
    </row>
    <row r="44" spans="2:6" x14ac:dyDescent="0.2">
      <c r="B44" s="170" t="s">
        <v>69</v>
      </c>
      <c r="C44" s="444">
        <f t="shared" si="1"/>
        <v>7715.31</v>
      </c>
      <c r="D44" s="433">
        <f>+F10</f>
        <v>7715.31</v>
      </c>
      <c r="E44" s="196"/>
      <c r="F44" s="197"/>
    </row>
    <row r="45" spans="2:6" x14ac:dyDescent="0.2">
      <c r="B45" s="134" t="s">
        <v>74</v>
      </c>
      <c r="C45" s="445">
        <f>SUM(C38:C44)</f>
        <v>123326.11148769299</v>
      </c>
      <c r="D45" s="445">
        <f>SUM(D38:D44)</f>
        <v>123326.11148769299</v>
      </c>
      <c r="E45" s="199">
        <f>SUM(E38:E44)</f>
        <v>0</v>
      </c>
      <c r="F45" s="198">
        <f>SUM(F38:F44)</f>
        <v>0</v>
      </c>
    </row>
    <row r="47" spans="2:6" ht="33.75" customHeight="1" x14ac:dyDescent="0.2">
      <c r="B47" s="620" t="s">
        <v>242</v>
      </c>
      <c r="C47" s="621"/>
      <c r="D47" s="621"/>
      <c r="E47" s="621"/>
      <c r="F47" s="622"/>
    </row>
    <row r="48" spans="2:6" x14ac:dyDescent="0.2">
      <c r="B48" s="190" t="s">
        <v>62</v>
      </c>
      <c r="C48" s="191" t="s">
        <v>59</v>
      </c>
      <c r="D48" s="192" t="s">
        <v>2</v>
      </c>
      <c r="E48" s="193" t="s">
        <v>71</v>
      </c>
      <c r="F48" s="192" t="s">
        <v>72</v>
      </c>
    </row>
    <row r="49" spans="2:6" x14ac:dyDescent="0.2">
      <c r="B49" s="169" t="s">
        <v>63</v>
      </c>
      <c r="C49" s="444">
        <f>D49+E49+F49</f>
        <v>99110.801487692996</v>
      </c>
      <c r="D49" s="433">
        <f>+F15</f>
        <v>99110.801487692996</v>
      </c>
      <c r="E49" s="196"/>
      <c r="F49" s="197"/>
    </row>
    <row r="50" spans="2:6" x14ac:dyDescent="0.2">
      <c r="B50" s="169" t="s">
        <v>64</v>
      </c>
      <c r="C50" s="444">
        <f t="shared" ref="C50:C55" si="2">D50+E50+F50</f>
        <v>0</v>
      </c>
      <c r="D50" s="433"/>
      <c r="E50" s="196"/>
      <c r="F50" s="197"/>
    </row>
    <row r="51" spans="2:6" x14ac:dyDescent="0.2">
      <c r="B51" s="170" t="s">
        <v>65</v>
      </c>
      <c r="C51" s="444">
        <f t="shared" si="2"/>
        <v>0</v>
      </c>
      <c r="D51" s="433"/>
      <c r="E51" s="196"/>
      <c r="F51" s="197"/>
    </row>
    <row r="52" spans="2:6" x14ac:dyDescent="0.2">
      <c r="B52" s="169" t="s">
        <v>66</v>
      </c>
      <c r="C52" s="444">
        <f t="shared" si="2"/>
        <v>0</v>
      </c>
      <c r="D52" s="433"/>
      <c r="E52" s="196"/>
      <c r="F52" s="197"/>
    </row>
    <row r="53" spans="2:6" x14ac:dyDescent="0.2">
      <c r="B53" s="169" t="s">
        <v>123</v>
      </c>
      <c r="C53" s="444">
        <f t="shared" si="2"/>
        <v>10200</v>
      </c>
      <c r="D53" s="433">
        <f>+F16</f>
        <v>10200</v>
      </c>
      <c r="E53" s="196"/>
      <c r="F53" s="197"/>
    </row>
    <row r="54" spans="2:6" x14ac:dyDescent="0.2">
      <c r="B54" s="170" t="s">
        <v>68</v>
      </c>
      <c r="C54" s="444">
        <f t="shared" si="2"/>
        <v>0</v>
      </c>
      <c r="D54" s="433"/>
      <c r="E54" s="196"/>
      <c r="F54" s="197"/>
    </row>
    <row r="55" spans="2:6" x14ac:dyDescent="0.2">
      <c r="B55" s="170" t="s">
        <v>69</v>
      </c>
      <c r="C55" s="444">
        <f t="shared" si="2"/>
        <v>7715.31</v>
      </c>
      <c r="D55" s="433">
        <f>+F17</f>
        <v>7715.31</v>
      </c>
      <c r="E55" s="196"/>
      <c r="F55" s="197"/>
    </row>
    <row r="56" spans="2:6" x14ac:dyDescent="0.2">
      <c r="B56" s="134" t="s">
        <v>74</v>
      </c>
      <c r="C56" s="445">
        <f>SUM(C49:C55)</f>
        <v>117026.11148769299</v>
      </c>
      <c r="D56" s="445">
        <f>SUM(D49:D55)</f>
        <v>117026.11148769299</v>
      </c>
      <c r="E56" s="198">
        <f>SUM(E49:E55)</f>
        <v>0</v>
      </c>
      <c r="F56" s="198">
        <f>SUM(F49:F55)</f>
        <v>0</v>
      </c>
    </row>
  </sheetData>
  <mergeCells count="20">
    <mergeCell ref="B4:F4"/>
    <mergeCell ref="E5:F5"/>
    <mergeCell ref="D7:D10"/>
    <mergeCell ref="B12:F12"/>
    <mergeCell ref="E13:F13"/>
    <mergeCell ref="C13:C14"/>
    <mergeCell ref="D5:D6"/>
    <mergeCell ref="E7:E8"/>
    <mergeCell ref="F7:F8"/>
    <mergeCell ref="D13:D14"/>
    <mergeCell ref="B13:B14"/>
    <mergeCell ref="B5:B6"/>
    <mergeCell ref="C5:C6"/>
    <mergeCell ref="B47:F47"/>
    <mergeCell ref="B36:F36"/>
    <mergeCell ref="B7:B10"/>
    <mergeCell ref="B15:B18"/>
    <mergeCell ref="D15:D18"/>
    <mergeCell ref="E17:E18"/>
    <mergeCell ref="F17:F18"/>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G57"/>
  <sheetViews>
    <sheetView showGridLines="0" zoomScale="125" zoomScaleNormal="125" zoomScalePageLayoutView="125" workbookViewId="0">
      <selection activeCell="B48" sqref="B48:F48"/>
    </sheetView>
  </sheetViews>
  <sheetFormatPr baseColWidth="10" defaultColWidth="9.1640625" defaultRowHeight="12" x14ac:dyDescent="0.15"/>
  <cols>
    <col min="1" max="1" width="1.5" style="159" customWidth="1"/>
    <col min="2" max="3" width="54.83203125" style="182" customWidth="1"/>
    <col min="4" max="4" width="12.5" style="182" customWidth="1"/>
    <col min="5" max="5" width="25.6640625" style="182" customWidth="1"/>
    <col min="6" max="6" width="13.83203125" style="182" customWidth="1"/>
    <col min="7" max="7" width="20.83203125" style="159" customWidth="1"/>
    <col min="8" max="16384" width="9.1640625" style="159"/>
  </cols>
  <sheetData>
    <row r="3" spans="2:6" x14ac:dyDescent="0.15">
      <c r="B3" s="132" t="s">
        <v>265</v>
      </c>
      <c r="C3" s="132"/>
      <c r="D3" s="132"/>
      <c r="E3" s="132"/>
      <c r="F3" s="133"/>
    </row>
    <row r="4" spans="2:6" ht="12" customHeight="1" x14ac:dyDescent="0.15">
      <c r="B4" s="623" t="s">
        <v>187</v>
      </c>
      <c r="C4" s="623"/>
      <c r="D4" s="623"/>
      <c r="E4" s="623"/>
      <c r="F4" s="623"/>
    </row>
    <row r="5" spans="2:6" ht="12" customHeight="1" x14ac:dyDescent="0.15">
      <c r="B5" s="640" t="s">
        <v>106</v>
      </c>
      <c r="C5" s="640" t="s">
        <v>107</v>
      </c>
      <c r="D5" s="640" t="s">
        <v>108</v>
      </c>
      <c r="E5" s="642" t="s">
        <v>109</v>
      </c>
      <c r="F5" s="642"/>
    </row>
    <row r="6" spans="2:6" x14ac:dyDescent="0.15">
      <c r="B6" s="641"/>
      <c r="C6" s="641"/>
      <c r="D6" s="641"/>
      <c r="E6" s="467" t="s">
        <v>62</v>
      </c>
      <c r="F6" s="467" t="s">
        <v>110</v>
      </c>
    </row>
    <row r="7" spans="2:6" ht="24" customHeight="1" x14ac:dyDescent="0.15">
      <c r="B7" s="591" t="s">
        <v>246</v>
      </c>
      <c r="C7" s="316" t="s">
        <v>250</v>
      </c>
      <c r="D7" s="644" t="s">
        <v>2</v>
      </c>
      <c r="E7" s="470" t="s">
        <v>63</v>
      </c>
      <c r="F7" s="521">
        <v>156492.884916699</v>
      </c>
    </row>
    <row r="8" spans="2:6" ht="24" customHeight="1" x14ac:dyDescent="0.15">
      <c r="B8" s="592"/>
      <c r="C8" s="606" t="s">
        <v>251</v>
      </c>
      <c r="D8" s="644"/>
      <c r="E8" s="137" t="s">
        <v>123</v>
      </c>
      <c r="F8" s="521">
        <v>9173.5993910142606</v>
      </c>
    </row>
    <row r="9" spans="2:6" ht="24" x14ac:dyDescent="0.15">
      <c r="B9" s="652"/>
      <c r="C9" s="608"/>
      <c r="D9" s="645"/>
      <c r="E9" s="158" t="s">
        <v>69</v>
      </c>
      <c r="F9" s="417">
        <v>147.44317103386479</v>
      </c>
    </row>
    <row r="10" spans="2:6" x14ac:dyDescent="0.15">
      <c r="B10" s="213" t="s">
        <v>182</v>
      </c>
      <c r="C10" s="130"/>
      <c r="D10" s="50"/>
      <c r="E10" s="130"/>
      <c r="F10" s="496">
        <f>SUM(F7:F9)</f>
        <v>165813.92747874712</v>
      </c>
    </row>
    <row r="11" spans="2:6" ht="31.5" customHeight="1" x14ac:dyDescent="0.15">
      <c r="B11" s="620" t="s">
        <v>242</v>
      </c>
      <c r="C11" s="621"/>
      <c r="D11" s="621"/>
      <c r="E11" s="621"/>
      <c r="F11" s="622"/>
    </row>
    <row r="12" spans="2:6" ht="12" customHeight="1" x14ac:dyDescent="0.15">
      <c r="B12" s="640" t="s">
        <v>106</v>
      </c>
      <c r="C12" s="640" t="s">
        <v>107</v>
      </c>
      <c r="D12" s="640" t="s">
        <v>108</v>
      </c>
      <c r="E12" s="642" t="s">
        <v>109</v>
      </c>
      <c r="F12" s="642"/>
    </row>
    <row r="13" spans="2:6" x14ac:dyDescent="0.15">
      <c r="B13" s="641"/>
      <c r="C13" s="641"/>
      <c r="D13" s="641"/>
      <c r="E13" s="467" t="s">
        <v>62</v>
      </c>
      <c r="F13" s="467" t="s">
        <v>110</v>
      </c>
    </row>
    <row r="14" spans="2:6" ht="33.75" customHeight="1" x14ac:dyDescent="0.15">
      <c r="B14" s="735" t="s">
        <v>247</v>
      </c>
      <c r="C14" s="471" t="s">
        <v>252</v>
      </c>
      <c r="D14" s="634" t="s">
        <v>71</v>
      </c>
      <c r="E14" s="471" t="s">
        <v>63</v>
      </c>
      <c r="F14" s="520">
        <v>112085</v>
      </c>
    </row>
    <row r="15" spans="2:6" ht="41.25" customHeight="1" x14ac:dyDescent="0.15">
      <c r="B15" s="736"/>
      <c r="C15" s="471" t="s">
        <v>253</v>
      </c>
      <c r="D15" s="635"/>
      <c r="E15" s="128" t="s">
        <v>123</v>
      </c>
      <c r="F15" s="520">
        <v>22476.6</v>
      </c>
    </row>
    <row r="16" spans="2:6" ht="37.5" customHeight="1" x14ac:dyDescent="0.15">
      <c r="B16" s="736"/>
      <c r="C16" s="471" t="s">
        <v>249</v>
      </c>
      <c r="D16" s="635"/>
      <c r="E16" s="313" t="s">
        <v>69</v>
      </c>
      <c r="F16" s="522">
        <v>14019</v>
      </c>
    </row>
    <row r="17" spans="2:7" x14ac:dyDescent="0.15">
      <c r="B17" s="213" t="s">
        <v>74</v>
      </c>
      <c r="C17" s="130"/>
      <c r="D17" s="50"/>
      <c r="E17" s="130"/>
      <c r="F17" s="496">
        <f>SUM(F14:F16)</f>
        <v>148580.6</v>
      </c>
    </row>
    <row r="18" spans="2:7" ht="31" customHeight="1" x14ac:dyDescent="0.15">
      <c r="B18" s="591" t="s">
        <v>248</v>
      </c>
      <c r="C18" s="137" t="s">
        <v>254</v>
      </c>
      <c r="D18" s="644" t="s">
        <v>2</v>
      </c>
      <c r="E18" s="470" t="s">
        <v>63</v>
      </c>
      <c r="F18" s="521">
        <v>31816.731472300002</v>
      </c>
    </row>
    <row r="19" spans="2:7" ht="24" customHeight="1" x14ac:dyDescent="0.15">
      <c r="B19" s="592"/>
      <c r="C19" s="593" t="s">
        <v>255</v>
      </c>
      <c r="D19" s="644"/>
      <c r="E19" s="137" t="s">
        <v>123</v>
      </c>
      <c r="F19" s="521">
        <v>4738.3985790332799</v>
      </c>
    </row>
    <row r="20" spans="2:7" ht="24" x14ac:dyDescent="0.15">
      <c r="B20" s="652"/>
      <c r="C20" s="595"/>
      <c r="D20" s="645"/>
      <c r="E20" s="158" t="s">
        <v>69</v>
      </c>
      <c r="F20" s="417">
        <v>32.534065745686618</v>
      </c>
    </row>
    <row r="21" spans="2:7" x14ac:dyDescent="0.15">
      <c r="B21" s="213" t="s">
        <v>74</v>
      </c>
      <c r="C21" s="130"/>
      <c r="D21" s="50"/>
      <c r="E21" s="130"/>
      <c r="F21" s="496">
        <f>SUM(F18:F20)</f>
        <v>36587.664117078966</v>
      </c>
    </row>
    <row r="22" spans="2:7" x14ac:dyDescent="0.15">
      <c r="B22" s="172" t="s">
        <v>77</v>
      </c>
      <c r="C22" s="166"/>
      <c r="D22" s="166"/>
      <c r="E22" s="166"/>
      <c r="F22" s="450">
        <f>F17+F21+F10</f>
        <v>350982.19159582607</v>
      </c>
      <c r="G22" s="168"/>
    </row>
    <row r="23" spans="2:7" x14ac:dyDescent="0.15">
      <c r="B23" s="169" t="s">
        <v>167</v>
      </c>
      <c r="C23" s="169"/>
      <c r="D23" s="169"/>
      <c r="E23" s="169"/>
      <c r="F23" s="436">
        <f>0.07*F22</f>
        <v>24568.753411707828</v>
      </c>
      <c r="G23" s="168"/>
    </row>
    <row r="24" spans="2:7" x14ac:dyDescent="0.15">
      <c r="B24" s="172" t="s">
        <v>149</v>
      </c>
      <c r="C24" s="166"/>
      <c r="D24" s="166"/>
      <c r="E24" s="166"/>
      <c r="F24" s="450">
        <f>SUM(F22:F23)</f>
        <v>375550.94500753388</v>
      </c>
      <c r="G24" s="168"/>
    </row>
    <row r="27" spans="2:7" x14ac:dyDescent="0.15">
      <c r="B27" s="173" t="s">
        <v>168</v>
      </c>
      <c r="C27" s="173" t="s">
        <v>2</v>
      </c>
      <c r="D27" s="173" t="s">
        <v>71</v>
      </c>
      <c r="E27" s="173" t="s">
        <v>72</v>
      </c>
      <c r="F27" s="173" t="s">
        <v>60</v>
      </c>
    </row>
    <row r="28" spans="2:7" x14ac:dyDescent="0.15">
      <c r="B28" s="135" t="s">
        <v>63</v>
      </c>
      <c r="C28" s="433">
        <f>F18+F7</f>
        <v>188309.61638899898</v>
      </c>
      <c r="D28" s="434">
        <f>F14</f>
        <v>112085</v>
      </c>
      <c r="E28" s="435"/>
      <c r="F28" s="436">
        <f t="shared" ref="F28:F33" si="0">SUM(C28:E28)</f>
        <v>300394.61638899898</v>
      </c>
    </row>
    <row r="29" spans="2:7" x14ac:dyDescent="0.15">
      <c r="B29" s="135" t="s">
        <v>123</v>
      </c>
      <c r="C29" s="433">
        <f>F19+F8</f>
        <v>13911.997970047541</v>
      </c>
      <c r="D29" s="434">
        <f>F15</f>
        <v>22476.6</v>
      </c>
      <c r="E29" s="435"/>
      <c r="F29" s="436">
        <f t="shared" si="0"/>
        <v>36388.597970047544</v>
      </c>
    </row>
    <row r="30" spans="2:7" x14ac:dyDescent="0.15">
      <c r="B30" s="136" t="s">
        <v>69</v>
      </c>
      <c r="C30" s="433">
        <f>F20+F9</f>
        <v>179.97723677955139</v>
      </c>
      <c r="D30" s="434">
        <f>F16</f>
        <v>14019</v>
      </c>
      <c r="E30" s="435"/>
      <c r="F30" s="436">
        <f t="shared" si="0"/>
        <v>14198.977236779552</v>
      </c>
    </row>
    <row r="31" spans="2:7" x14ac:dyDescent="0.15">
      <c r="B31" s="179" t="s">
        <v>169</v>
      </c>
      <c r="C31" s="437">
        <f>SUM(C28:C30)</f>
        <v>202401.59159582609</v>
      </c>
      <c r="D31" s="437">
        <f>SUM(D28:D30)</f>
        <v>148580.6</v>
      </c>
      <c r="E31" s="437"/>
      <c r="F31" s="437">
        <f t="shared" si="0"/>
        <v>350982.19159582607</v>
      </c>
      <c r="G31" s="215">
        <f>C46+C57</f>
        <v>350982.19159582607</v>
      </c>
    </row>
    <row r="32" spans="2:7" x14ac:dyDescent="0.15">
      <c r="B32" s="169" t="s">
        <v>121</v>
      </c>
      <c r="C32" s="433">
        <f>0.07*C31</f>
        <v>14168.111411707827</v>
      </c>
      <c r="D32" s="434">
        <f>0.07*D31</f>
        <v>10400.642000000002</v>
      </c>
      <c r="E32" s="435"/>
      <c r="F32" s="436">
        <f t="shared" si="0"/>
        <v>24568.753411707828</v>
      </c>
    </row>
    <row r="33" spans="2:6" x14ac:dyDescent="0.15">
      <c r="B33" s="185" t="s">
        <v>1</v>
      </c>
      <c r="C33" s="438">
        <f>SUM(C31:C32)</f>
        <v>216569.70300753391</v>
      </c>
      <c r="D33" s="439">
        <f>SUM(D31:D32)</f>
        <v>158981.242</v>
      </c>
      <c r="E33" s="440"/>
      <c r="F33" s="441">
        <f t="shared" si="0"/>
        <v>375550.94500753388</v>
      </c>
    </row>
    <row r="34" spans="2:6" x14ac:dyDescent="0.15">
      <c r="C34" s="442"/>
      <c r="D34" s="442"/>
      <c r="E34" s="442"/>
      <c r="F34" s="442"/>
    </row>
    <row r="35" spans="2:6" ht="13" thickBot="1" x14ac:dyDescent="0.2">
      <c r="B35" s="187" t="s">
        <v>170</v>
      </c>
      <c r="C35" s="443">
        <f>'Comparaison 2020 '!F12</f>
        <v>202402</v>
      </c>
      <c r="D35" s="443">
        <f>'Comparaison 2020 '!G12</f>
        <v>148580</v>
      </c>
      <c r="E35" s="443">
        <f>'Comparaison 2020 '!H12</f>
        <v>0</v>
      </c>
      <c r="F35" s="443">
        <f>'Comparaison 2020 '!I12</f>
        <v>350982</v>
      </c>
    </row>
    <row r="36" spans="2:6" ht="13" thickTop="1" x14ac:dyDescent="0.15"/>
    <row r="37" spans="2:6" ht="12" customHeight="1" x14ac:dyDescent="0.15">
      <c r="B37" s="623" t="s">
        <v>187</v>
      </c>
      <c r="C37" s="623"/>
      <c r="D37" s="623"/>
      <c r="E37" s="623"/>
      <c r="F37" s="623"/>
    </row>
    <row r="38" spans="2:6" x14ac:dyDescent="0.15">
      <c r="B38" s="190" t="s">
        <v>62</v>
      </c>
      <c r="C38" s="191" t="s">
        <v>59</v>
      </c>
      <c r="D38" s="192" t="s">
        <v>2</v>
      </c>
      <c r="E38" s="207" t="s">
        <v>71</v>
      </c>
      <c r="F38" s="192" t="s">
        <v>72</v>
      </c>
    </row>
    <row r="39" spans="2:6" x14ac:dyDescent="0.15">
      <c r="B39" s="169" t="s">
        <v>63</v>
      </c>
      <c r="C39" s="444">
        <f>D39+E39+F39</f>
        <v>156492.884916699</v>
      </c>
      <c r="D39" s="433">
        <f>+F7</f>
        <v>156492.884916699</v>
      </c>
      <c r="E39" s="176"/>
      <c r="F39" s="197"/>
    </row>
    <row r="40" spans="2:6" x14ac:dyDescent="0.15">
      <c r="B40" s="169" t="s">
        <v>64</v>
      </c>
      <c r="C40" s="444">
        <f t="shared" ref="C40:C45" si="1">D40+E40+F40</f>
        <v>0</v>
      </c>
      <c r="D40" s="433"/>
      <c r="E40" s="176"/>
      <c r="F40" s="197"/>
    </row>
    <row r="41" spans="2:6" x14ac:dyDescent="0.15">
      <c r="B41" s="170" t="s">
        <v>65</v>
      </c>
      <c r="C41" s="444">
        <f t="shared" si="1"/>
        <v>0</v>
      </c>
      <c r="D41" s="433"/>
      <c r="E41" s="176"/>
      <c r="F41" s="197"/>
    </row>
    <row r="42" spans="2:6" x14ac:dyDescent="0.15">
      <c r="B42" s="169" t="s">
        <v>66</v>
      </c>
      <c r="C42" s="444">
        <f t="shared" si="1"/>
        <v>0</v>
      </c>
      <c r="D42" s="433"/>
      <c r="E42" s="176"/>
      <c r="F42" s="197"/>
    </row>
    <row r="43" spans="2:6" x14ac:dyDescent="0.15">
      <c r="B43" s="169" t="s">
        <v>123</v>
      </c>
      <c r="C43" s="444">
        <f t="shared" si="1"/>
        <v>9173.5993910142606</v>
      </c>
      <c r="D43" s="433">
        <f>+F8</f>
        <v>9173.5993910142606</v>
      </c>
      <c r="E43" s="176"/>
      <c r="F43" s="197"/>
    </row>
    <row r="44" spans="2:6" x14ac:dyDescent="0.15">
      <c r="B44" s="170" t="s">
        <v>68</v>
      </c>
      <c r="C44" s="444">
        <f t="shared" si="1"/>
        <v>0</v>
      </c>
      <c r="D44" s="433"/>
      <c r="E44" s="176"/>
      <c r="F44" s="197"/>
    </row>
    <row r="45" spans="2:6" x14ac:dyDescent="0.15">
      <c r="B45" s="170" t="s">
        <v>69</v>
      </c>
      <c r="C45" s="444">
        <f t="shared" si="1"/>
        <v>147.44317103386479</v>
      </c>
      <c r="D45" s="433">
        <f>+F9</f>
        <v>147.44317103386479</v>
      </c>
      <c r="E45" s="176"/>
      <c r="F45" s="197"/>
    </row>
    <row r="46" spans="2:6" x14ac:dyDescent="0.15">
      <c r="B46" s="134" t="s">
        <v>74</v>
      </c>
      <c r="C46" s="445">
        <f>SUM(C39:C45)</f>
        <v>165813.92747874712</v>
      </c>
      <c r="D46" s="445">
        <f>SUM(D39:D45)</f>
        <v>165813.92747874712</v>
      </c>
      <c r="E46" s="198">
        <f>SUM(E39:E45)</f>
        <v>0</v>
      </c>
      <c r="F46" s="198">
        <f>SUM(F39:F45)</f>
        <v>0</v>
      </c>
    </row>
    <row r="48" spans="2:6" ht="26.25" customHeight="1" x14ac:dyDescent="0.15">
      <c r="B48" s="620" t="s">
        <v>242</v>
      </c>
      <c r="C48" s="621"/>
      <c r="D48" s="621"/>
      <c r="E48" s="621"/>
      <c r="F48" s="622"/>
    </row>
    <row r="49" spans="2:6" x14ac:dyDescent="0.15">
      <c r="B49" s="190" t="s">
        <v>62</v>
      </c>
      <c r="C49" s="191" t="s">
        <v>59</v>
      </c>
      <c r="D49" s="192" t="s">
        <v>2</v>
      </c>
      <c r="E49" s="207" t="s">
        <v>71</v>
      </c>
      <c r="F49" s="192" t="s">
        <v>72</v>
      </c>
    </row>
    <row r="50" spans="2:6" x14ac:dyDescent="0.15">
      <c r="B50" s="169" t="s">
        <v>63</v>
      </c>
      <c r="C50" s="444">
        <f>D50+E50+F50</f>
        <v>143901.73147230002</v>
      </c>
      <c r="D50" s="433">
        <f>+F18</f>
        <v>31816.731472300002</v>
      </c>
      <c r="E50" s="434">
        <f>+D28</f>
        <v>112085</v>
      </c>
      <c r="F50" s="197"/>
    </row>
    <row r="51" spans="2:6" x14ac:dyDescent="0.15">
      <c r="B51" s="169" t="s">
        <v>64</v>
      </c>
      <c r="C51" s="444">
        <f t="shared" ref="C51:C56" si="2">D51+E51+F51</f>
        <v>0</v>
      </c>
      <c r="D51" s="433"/>
      <c r="E51" s="434"/>
      <c r="F51" s="197"/>
    </row>
    <row r="52" spans="2:6" x14ac:dyDescent="0.15">
      <c r="B52" s="170" t="s">
        <v>65</v>
      </c>
      <c r="C52" s="444">
        <f t="shared" si="2"/>
        <v>0</v>
      </c>
      <c r="D52" s="433"/>
      <c r="E52" s="434"/>
      <c r="F52" s="197"/>
    </row>
    <row r="53" spans="2:6" x14ac:dyDescent="0.15">
      <c r="B53" s="169" t="s">
        <v>66</v>
      </c>
      <c r="C53" s="444">
        <f t="shared" si="2"/>
        <v>0</v>
      </c>
      <c r="D53" s="433"/>
      <c r="E53" s="434"/>
      <c r="F53" s="197"/>
    </row>
    <row r="54" spans="2:6" x14ac:dyDescent="0.15">
      <c r="B54" s="169" t="s">
        <v>123</v>
      </c>
      <c r="C54" s="444">
        <f t="shared" si="2"/>
        <v>27214.998579033279</v>
      </c>
      <c r="D54" s="433">
        <f>+F19</f>
        <v>4738.3985790332799</v>
      </c>
      <c r="E54" s="434">
        <f>+D29</f>
        <v>22476.6</v>
      </c>
      <c r="F54" s="197"/>
    </row>
    <row r="55" spans="2:6" x14ac:dyDescent="0.15">
      <c r="B55" s="170" t="s">
        <v>68</v>
      </c>
      <c r="C55" s="444">
        <f t="shared" si="2"/>
        <v>0</v>
      </c>
      <c r="D55" s="433"/>
      <c r="E55" s="434"/>
      <c r="F55" s="197"/>
    </row>
    <row r="56" spans="2:6" x14ac:dyDescent="0.15">
      <c r="B56" s="170" t="s">
        <v>69</v>
      </c>
      <c r="C56" s="444">
        <f t="shared" si="2"/>
        <v>14051.534065745687</v>
      </c>
      <c r="D56" s="433">
        <f>+F20</f>
        <v>32.534065745686618</v>
      </c>
      <c r="E56" s="434">
        <f>+D30</f>
        <v>14019</v>
      </c>
      <c r="F56" s="197"/>
    </row>
    <row r="57" spans="2:6" x14ac:dyDescent="0.15">
      <c r="B57" s="134" t="s">
        <v>74</v>
      </c>
      <c r="C57" s="445">
        <f>SUM(C50:C56)</f>
        <v>185168.26411707897</v>
      </c>
      <c r="D57" s="445">
        <f>SUM(D50:D56)</f>
        <v>36587.664117078966</v>
      </c>
      <c r="E57" s="445">
        <f>SUM(E50:E56)</f>
        <v>148580.6</v>
      </c>
      <c r="F57" s="198">
        <f>SUM(F50:F56)</f>
        <v>0</v>
      </c>
    </row>
  </sheetData>
  <mergeCells count="20">
    <mergeCell ref="C8:C9"/>
    <mergeCell ref="B7:B9"/>
    <mergeCell ref="D7:D9"/>
    <mergeCell ref="B14:B16"/>
    <mergeCell ref="D14:D16"/>
    <mergeCell ref="B12:B13"/>
    <mergeCell ref="C12:C13"/>
    <mergeCell ref="D12:D13"/>
    <mergeCell ref="B48:F48"/>
    <mergeCell ref="B37:F37"/>
    <mergeCell ref="B11:F11"/>
    <mergeCell ref="E12:F12"/>
    <mergeCell ref="D18:D20"/>
    <mergeCell ref="B18:B20"/>
    <mergeCell ref="C19:C20"/>
    <mergeCell ref="B4:F4"/>
    <mergeCell ref="B5:B6"/>
    <mergeCell ref="C5:C6"/>
    <mergeCell ref="D5:D6"/>
    <mergeCell ref="E5:F5"/>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L70"/>
  <sheetViews>
    <sheetView showGridLines="0" topLeftCell="A53" zoomScale="125" zoomScaleNormal="125" zoomScalePageLayoutView="125" workbookViewId="0">
      <selection activeCell="C83" sqref="C83"/>
    </sheetView>
  </sheetViews>
  <sheetFormatPr baseColWidth="10" defaultColWidth="9.1640625" defaultRowHeight="12" x14ac:dyDescent="0.2"/>
  <cols>
    <col min="1" max="1" width="1.33203125" style="182" customWidth="1"/>
    <col min="2" max="2" width="59.1640625" style="182" customWidth="1"/>
    <col min="3" max="3" width="51.5" style="182" customWidth="1"/>
    <col min="4" max="4" width="10.5" style="182" customWidth="1"/>
    <col min="5" max="5" width="29.33203125" style="182" customWidth="1"/>
    <col min="6" max="6" width="8.5" style="182" bestFit="1" customWidth="1"/>
    <col min="7" max="7" width="17.6640625" style="182" customWidth="1"/>
    <col min="8" max="16384" width="9.1640625" style="182"/>
  </cols>
  <sheetData>
    <row r="3" spans="2:6" x14ac:dyDescent="0.2">
      <c r="B3" s="132" t="s">
        <v>264</v>
      </c>
      <c r="C3" s="132"/>
      <c r="D3" s="132"/>
      <c r="E3" s="132"/>
      <c r="F3" s="133"/>
    </row>
    <row r="4" spans="2:6" ht="30.75" customHeight="1" x14ac:dyDescent="0.2">
      <c r="B4" s="623" t="s">
        <v>187</v>
      </c>
      <c r="C4" s="623"/>
      <c r="D4" s="623"/>
      <c r="E4" s="623"/>
      <c r="F4" s="623"/>
    </row>
    <row r="5" spans="2:6" ht="16.5" customHeight="1" x14ac:dyDescent="0.2">
      <c r="B5" s="640" t="s">
        <v>106</v>
      </c>
      <c r="C5" s="640" t="s">
        <v>107</v>
      </c>
      <c r="D5" s="640" t="s">
        <v>108</v>
      </c>
      <c r="E5" s="642" t="s">
        <v>109</v>
      </c>
      <c r="F5" s="642"/>
    </row>
    <row r="6" spans="2:6" ht="32.25" customHeight="1" x14ac:dyDescent="0.2">
      <c r="B6" s="641"/>
      <c r="C6" s="641"/>
      <c r="D6" s="641"/>
      <c r="E6" s="467" t="s">
        <v>62</v>
      </c>
      <c r="F6" s="467" t="s">
        <v>110</v>
      </c>
    </row>
    <row r="7" spans="2:6" ht="26" customHeight="1" x14ac:dyDescent="0.2">
      <c r="B7" s="606" t="s">
        <v>345</v>
      </c>
      <c r="C7" s="591" t="s">
        <v>261</v>
      </c>
      <c r="D7" s="643" t="s">
        <v>2</v>
      </c>
      <c r="E7" s="470" t="s">
        <v>63</v>
      </c>
      <c r="F7" s="417">
        <v>107515</v>
      </c>
    </row>
    <row r="8" spans="2:6" ht="17.25" customHeight="1" x14ac:dyDescent="0.2">
      <c r="B8" s="607"/>
      <c r="C8" s="592"/>
      <c r="D8" s="644"/>
      <c r="E8" s="137" t="s">
        <v>123</v>
      </c>
      <c r="F8" s="417">
        <v>10000</v>
      </c>
    </row>
    <row r="9" spans="2:6" ht="33" customHeight="1" x14ac:dyDescent="0.2">
      <c r="B9" s="608"/>
      <c r="C9" s="652"/>
      <c r="D9" s="645"/>
      <c r="E9" s="158" t="s">
        <v>69</v>
      </c>
      <c r="F9" s="417"/>
    </row>
    <row r="10" spans="2:6" x14ac:dyDescent="0.2">
      <c r="B10" s="139" t="s">
        <v>182</v>
      </c>
      <c r="C10" s="139"/>
      <c r="D10" s="139"/>
      <c r="E10" s="139"/>
      <c r="F10" s="551">
        <f>SUM(F7:F9)</f>
        <v>117515</v>
      </c>
    </row>
    <row r="11" spans="2:6" ht="30.75" customHeight="1" x14ac:dyDescent="0.2">
      <c r="B11" s="620" t="s">
        <v>242</v>
      </c>
      <c r="C11" s="621"/>
      <c r="D11" s="621"/>
      <c r="E11" s="621"/>
      <c r="F11" s="622"/>
    </row>
    <row r="12" spans="2:6" ht="19.5" customHeight="1" x14ac:dyDescent="0.2">
      <c r="B12" s="640" t="s">
        <v>106</v>
      </c>
      <c r="C12" s="640" t="s">
        <v>107</v>
      </c>
      <c r="D12" s="640" t="s">
        <v>108</v>
      </c>
      <c r="E12" s="642" t="s">
        <v>109</v>
      </c>
      <c r="F12" s="642"/>
    </row>
    <row r="13" spans="2:6" x14ac:dyDescent="0.2">
      <c r="B13" s="641"/>
      <c r="C13" s="641"/>
      <c r="D13" s="641"/>
      <c r="E13" s="467" t="s">
        <v>62</v>
      </c>
      <c r="F13" s="467" t="s">
        <v>110</v>
      </c>
    </row>
    <row r="14" spans="2:6" ht="26" customHeight="1" x14ac:dyDescent="0.2">
      <c r="B14" s="739" t="s">
        <v>257</v>
      </c>
      <c r="C14" s="614" t="s">
        <v>262</v>
      </c>
      <c r="D14" s="617" t="s">
        <v>71</v>
      </c>
      <c r="E14" s="471" t="s">
        <v>63</v>
      </c>
      <c r="F14" s="552">
        <v>24419.599999999999</v>
      </c>
    </row>
    <row r="15" spans="2:6" ht="25" customHeight="1" x14ac:dyDescent="0.2">
      <c r="B15" s="740"/>
      <c r="C15" s="742"/>
      <c r="D15" s="618"/>
      <c r="E15" s="128" t="s">
        <v>123</v>
      </c>
      <c r="F15" s="552">
        <v>4926</v>
      </c>
    </row>
    <row r="16" spans="2:6" ht="54" customHeight="1" x14ac:dyDescent="0.2">
      <c r="B16" s="740"/>
      <c r="C16" s="307" t="s">
        <v>263</v>
      </c>
      <c r="D16" s="619"/>
      <c r="E16" s="126" t="s">
        <v>69</v>
      </c>
      <c r="F16" s="552">
        <v>4673</v>
      </c>
    </row>
    <row r="17" spans="2:12" ht="17" customHeight="1" x14ac:dyDescent="0.2">
      <c r="B17" s="740"/>
      <c r="C17" s="139"/>
      <c r="D17" s="139"/>
      <c r="E17" s="139" t="s">
        <v>74</v>
      </c>
      <c r="F17" s="551">
        <f>SUM(F14:F16)</f>
        <v>34018.6</v>
      </c>
    </row>
    <row r="18" spans="2:12" ht="24" customHeight="1" x14ac:dyDescent="0.2">
      <c r="B18" s="740"/>
      <c r="C18" s="606" t="s">
        <v>259</v>
      </c>
      <c r="D18" s="643" t="s">
        <v>2</v>
      </c>
      <c r="E18" s="470" t="s">
        <v>63</v>
      </c>
      <c r="F18" s="521">
        <f>30000+8698</f>
        <v>38698</v>
      </c>
    </row>
    <row r="19" spans="2:12" x14ac:dyDescent="0.2">
      <c r="B19" s="740"/>
      <c r="C19" s="607"/>
      <c r="D19" s="644"/>
      <c r="E19" s="137" t="s">
        <v>123</v>
      </c>
      <c r="F19" s="521">
        <f>20000-2329</f>
        <v>17671</v>
      </c>
    </row>
    <row r="20" spans="2:12" ht="22" customHeight="1" x14ac:dyDescent="0.2">
      <c r="B20" s="740"/>
      <c r="C20" s="608"/>
      <c r="D20" s="645"/>
      <c r="E20" s="158" t="s">
        <v>69</v>
      </c>
      <c r="F20" s="521">
        <v>5000</v>
      </c>
    </row>
    <row r="21" spans="2:12" ht="13.5" customHeight="1" x14ac:dyDescent="0.2">
      <c r="B21" s="740"/>
      <c r="C21" s="308"/>
      <c r="D21" s="309"/>
      <c r="E21" s="139" t="s">
        <v>74</v>
      </c>
      <c r="F21" s="551">
        <f>SUM(F18:F20)</f>
        <v>61369</v>
      </c>
    </row>
    <row r="22" spans="2:12" ht="25" customHeight="1" x14ac:dyDescent="0.2">
      <c r="B22" s="740"/>
      <c r="C22" s="649" t="s">
        <v>259</v>
      </c>
      <c r="D22" s="646" t="s">
        <v>72</v>
      </c>
      <c r="E22" s="469" t="s">
        <v>63</v>
      </c>
      <c r="F22" s="448">
        <v>15300</v>
      </c>
    </row>
    <row r="23" spans="2:12" ht="12" customHeight="1" x14ac:dyDescent="0.2">
      <c r="B23" s="740"/>
      <c r="C23" s="650"/>
      <c r="D23" s="737"/>
      <c r="E23" s="115" t="s">
        <v>123</v>
      </c>
      <c r="F23" s="448">
        <v>6000</v>
      </c>
    </row>
    <row r="24" spans="2:12" ht="23" customHeight="1" x14ac:dyDescent="0.2">
      <c r="B24" s="740"/>
      <c r="C24" s="651"/>
      <c r="D24" s="738"/>
      <c r="E24" s="116" t="s">
        <v>69</v>
      </c>
      <c r="F24" s="448"/>
    </row>
    <row r="25" spans="2:12" ht="13.5" customHeight="1" x14ac:dyDescent="0.2">
      <c r="B25" s="741"/>
      <c r="C25" s="139"/>
      <c r="D25" s="139"/>
      <c r="E25" s="139" t="s">
        <v>74</v>
      </c>
      <c r="F25" s="551">
        <f>SUM(F22:F24)</f>
        <v>21300</v>
      </c>
    </row>
    <row r="26" spans="2:12" ht="12" customHeight="1" x14ac:dyDescent="0.2">
      <c r="B26" s="139" t="s">
        <v>74</v>
      </c>
      <c r="C26" s="308"/>
      <c r="D26" s="310"/>
      <c r="E26" s="139"/>
      <c r="F26" s="551">
        <f>SUM(F17+F21+F25)</f>
        <v>116687.6</v>
      </c>
    </row>
    <row r="27" spans="2:12" ht="26" customHeight="1" x14ac:dyDescent="0.2">
      <c r="B27" s="591" t="s">
        <v>346</v>
      </c>
      <c r="C27" s="606" t="s">
        <v>347</v>
      </c>
      <c r="D27" s="644" t="s">
        <v>2</v>
      </c>
      <c r="E27" s="468" t="s">
        <v>63</v>
      </c>
      <c r="F27" s="521">
        <f>30000+8698</f>
        <v>38698</v>
      </c>
    </row>
    <row r="28" spans="2:12" ht="22.5" customHeight="1" x14ac:dyDescent="0.2">
      <c r="B28" s="592"/>
      <c r="C28" s="608"/>
      <c r="D28" s="644"/>
      <c r="E28" s="137" t="s">
        <v>123</v>
      </c>
      <c r="F28" s="521">
        <f>20000-2329</f>
        <v>17671</v>
      </c>
    </row>
    <row r="29" spans="2:12" ht="24" customHeight="1" x14ac:dyDescent="0.2">
      <c r="B29" s="592"/>
      <c r="C29" s="118" t="s">
        <v>260</v>
      </c>
      <c r="D29" s="645"/>
      <c r="E29" s="158" t="s">
        <v>69</v>
      </c>
      <c r="F29" s="521">
        <v>5000</v>
      </c>
    </row>
    <row r="30" spans="2:12" ht="14.25" customHeight="1" x14ac:dyDescent="0.2">
      <c r="B30" s="139" t="s">
        <v>74</v>
      </c>
      <c r="C30" s="139"/>
      <c r="D30" s="139"/>
      <c r="E30" s="139"/>
      <c r="F30" s="551">
        <f>SUM(F27:F29)</f>
        <v>61369</v>
      </c>
    </row>
    <row r="31" spans="2:12" ht="23" customHeight="1" x14ac:dyDescent="0.2">
      <c r="B31" s="649" t="s">
        <v>258</v>
      </c>
      <c r="C31" s="694" t="s">
        <v>348</v>
      </c>
      <c r="D31" s="646" t="s">
        <v>72</v>
      </c>
      <c r="E31" s="489" t="s">
        <v>63</v>
      </c>
      <c r="F31" s="448">
        <v>28000</v>
      </c>
      <c r="H31" s="295"/>
      <c r="I31" s="295"/>
      <c r="J31" s="295"/>
      <c r="K31" s="295"/>
      <c r="L31" s="295"/>
    </row>
    <row r="32" spans="2:12" ht="13.5" customHeight="1" x14ac:dyDescent="0.2">
      <c r="B32" s="650"/>
      <c r="C32" s="712"/>
      <c r="D32" s="737"/>
      <c r="E32" s="115" t="s">
        <v>123</v>
      </c>
      <c r="F32" s="448">
        <v>6000</v>
      </c>
    </row>
    <row r="33" spans="2:7" ht="25" customHeight="1" x14ac:dyDescent="0.2">
      <c r="B33" s="651"/>
      <c r="C33" s="695"/>
      <c r="D33" s="738"/>
      <c r="E33" s="116" t="s">
        <v>69</v>
      </c>
      <c r="F33" s="448">
        <v>5000</v>
      </c>
    </row>
    <row r="34" spans="2:7" x14ac:dyDescent="0.2">
      <c r="B34" s="248" t="s">
        <v>74</v>
      </c>
      <c r="C34" s="139"/>
      <c r="D34" s="139"/>
      <c r="E34" s="139"/>
      <c r="F34" s="551">
        <f>SUM(F31:F33)</f>
        <v>39000</v>
      </c>
    </row>
    <row r="35" spans="2:7" x14ac:dyDescent="0.2">
      <c r="B35" s="291" t="s">
        <v>141</v>
      </c>
      <c r="C35" s="139"/>
      <c r="D35" s="139"/>
      <c r="E35" s="139"/>
      <c r="F35" s="551">
        <f>F34+F30+F21+F17</f>
        <v>195756.6</v>
      </c>
    </row>
    <row r="36" spans="2:7" x14ac:dyDescent="0.2">
      <c r="B36" s="172" t="s">
        <v>77</v>
      </c>
      <c r="C36" s="166"/>
      <c r="D36" s="166"/>
      <c r="E36" s="166"/>
      <c r="F36" s="510">
        <f>F35+F10</f>
        <v>313271.59999999998</v>
      </c>
      <c r="G36" s="221"/>
    </row>
    <row r="37" spans="2:7" x14ac:dyDescent="0.2">
      <c r="B37" s="169" t="s">
        <v>167</v>
      </c>
      <c r="C37" s="169"/>
      <c r="D37" s="169"/>
      <c r="E37" s="169"/>
      <c r="F37" s="511">
        <f>0.07*F36</f>
        <v>21929.011999999999</v>
      </c>
      <c r="G37" s="221"/>
    </row>
    <row r="38" spans="2:7" x14ac:dyDescent="0.2">
      <c r="B38" s="172" t="s">
        <v>149</v>
      </c>
      <c r="C38" s="166"/>
      <c r="D38" s="166"/>
      <c r="E38" s="166"/>
      <c r="F38" s="510">
        <f>SUM(F36:F37)</f>
        <v>335200.61199999996</v>
      </c>
      <c r="G38" s="221"/>
    </row>
    <row r="40" spans="2:7" x14ac:dyDescent="0.2">
      <c r="B40" s="173" t="s">
        <v>168</v>
      </c>
      <c r="C40" s="173" t="s">
        <v>2</v>
      </c>
      <c r="D40" s="173" t="s">
        <v>71</v>
      </c>
      <c r="E40" s="173" t="s">
        <v>72</v>
      </c>
      <c r="F40" s="173" t="s">
        <v>1</v>
      </c>
    </row>
    <row r="41" spans="2:7" x14ac:dyDescent="0.2">
      <c r="B41" s="135" t="s">
        <v>63</v>
      </c>
      <c r="C41" s="433">
        <f>F27+F7+F18</f>
        <v>184911</v>
      </c>
      <c r="D41" s="434">
        <f>F14</f>
        <v>24419.599999999999</v>
      </c>
      <c r="E41" s="435">
        <f>F31+F22</f>
        <v>43300</v>
      </c>
      <c r="F41" s="436">
        <f>SUM(C41:E41)</f>
        <v>252630.6</v>
      </c>
    </row>
    <row r="42" spans="2:7" x14ac:dyDescent="0.2">
      <c r="B42" s="135" t="s">
        <v>123</v>
      </c>
      <c r="C42" s="433">
        <f>F28+F8</f>
        <v>27671</v>
      </c>
      <c r="D42" s="434">
        <f>F15</f>
        <v>4926</v>
      </c>
      <c r="E42" s="435">
        <f>F32+F23</f>
        <v>12000</v>
      </c>
      <c r="F42" s="436">
        <f>SUM(C42:E42)</f>
        <v>44597</v>
      </c>
    </row>
    <row r="43" spans="2:7" x14ac:dyDescent="0.2">
      <c r="B43" s="136" t="s">
        <v>69</v>
      </c>
      <c r="C43" s="433">
        <f>F29+F9</f>
        <v>5000</v>
      </c>
      <c r="D43" s="434">
        <f>F16</f>
        <v>4673</v>
      </c>
      <c r="E43" s="435">
        <f>F33</f>
        <v>5000</v>
      </c>
      <c r="F43" s="436">
        <f>SUM(C43:E43)</f>
        <v>14673</v>
      </c>
    </row>
    <row r="44" spans="2:7" x14ac:dyDescent="0.2">
      <c r="B44" s="179" t="s">
        <v>169</v>
      </c>
      <c r="C44" s="437">
        <f>SUM(C41:C43)</f>
        <v>217582</v>
      </c>
      <c r="D44" s="437">
        <f>SUM(D41:D43)</f>
        <v>34018.6</v>
      </c>
      <c r="E44" s="437">
        <f>SUM(E41:E43)</f>
        <v>60300</v>
      </c>
      <c r="F44" s="437">
        <f>SUM(F41:F43)</f>
        <v>311900.59999999998</v>
      </c>
      <c r="G44" s="222">
        <f>C59+C70</f>
        <v>311900.59999999998</v>
      </c>
    </row>
    <row r="45" spans="2:7" x14ac:dyDescent="0.2">
      <c r="B45" s="169" t="s">
        <v>121</v>
      </c>
      <c r="C45" s="433">
        <f>0.07*C44</f>
        <v>15230.740000000002</v>
      </c>
      <c r="D45" s="434">
        <f>0.07*D44</f>
        <v>2381.3020000000001</v>
      </c>
      <c r="E45" s="435">
        <f>0.07*E44</f>
        <v>4221</v>
      </c>
      <c r="F45" s="436">
        <f>0.07*F44</f>
        <v>21833.042000000001</v>
      </c>
    </row>
    <row r="46" spans="2:7" x14ac:dyDescent="0.2">
      <c r="B46" s="185" t="s">
        <v>1</v>
      </c>
      <c r="C46" s="438">
        <f>SUM(C44:C45)</f>
        <v>232812.74</v>
      </c>
      <c r="D46" s="439">
        <f>SUM(D44:D45)</f>
        <v>36399.902000000002</v>
      </c>
      <c r="E46" s="440">
        <f>SUM(E44:E45)</f>
        <v>64521</v>
      </c>
      <c r="F46" s="441">
        <f>SUM(F44:F45)</f>
        <v>333733.64199999999</v>
      </c>
    </row>
    <row r="47" spans="2:7" x14ac:dyDescent="0.2">
      <c r="C47" s="442"/>
      <c r="D47" s="442"/>
      <c r="E47" s="442"/>
      <c r="F47" s="442"/>
    </row>
    <row r="48" spans="2:7" ht="13" thickBot="1" x14ac:dyDescent="0.25">
      <c r="B48" s="187" t="s">
        <v>170</v>
      </c>
      <c r="C48" s="443">
        <f>'Comparaison 2020 '!F8</f>
        <v>217582</v>
      </c>
      <c r="D48" s="443">
        <f>'Comparaison 2020 '!G8</f>
        <v>34020</v>
      </c>
      <c r="E48" s="443">
        <f>'Comparaison 2020 '!H8</f>
        <v>94300</v>
      </c>
      <c r="F48" s="443">
        <f>'Comparaison 2020 '!I8</f>
        <v>345902</v>
      </c>
    </row>
    <row r="49" spans="2:6" ht="13" thickTop="1" x14ac:dyDescent="0.2"/>
    <row r="50" spans="2:6" ht="12" customHeight="1" x14ac:dyDescent="0.2">
      <c r="B50" s="623" t="s">
        <v>187</v>
      </c>
      <c r="C50" s="623"/>
      <c r="D50" s="623"/>
      <c r="E50" s="623"/>
      <c r="F50" s="623"/>
    </row>
    <row r="51" spans="2:6" x14ac:dyDescent="0.2">
      <c r="B51" s="190" t="s">
        <v>62</v>
      </c>
      <c r="C51" s="191" t="s">
        <v>59</v>
      </c>
      <c r="D51" s="192" t="s">
        <v>2</v>
      </c>
      <c r="E51" s="207" t="s">
        <v>71</v>
      </c>
      <c r="F51" s="192" t="s">
        <v>72</v>
      </c>
    </row>
    <row r="52" spans="2:6" x14ac:dyDescent="0.2">
      <c r="B52" s="169" t="s">
        <v>63</v>
      </c>
      <c r="C52" s="444">
        <f>D52+E52+F52</f>
        <v>107515</v>
      </c>
      <c r="D52" s="433">
        <f>F7</f>
        <v>107515</v>
      </c>
      <c r="E52" s="176"/>
      <c r="F52" s="197"/>
    </row>
    <row r="53" spans="2:6" x14ac:dyDescent="0.2">
      <c r="B53" s="169" t="s">
        <v>64</v>
      </c>
      <c r="C53" s="444">
        <f t="shared" ref="C53:C58" si="0">D53+E53+F53</f>
        <v>0</v>
      </c>
      <c r="D53" s="433"/>
      <c r="E53" s="176"/>
      <c r="F53" s="197"/>
    </row>
    <row r="54" spans="2:6" x14ac:dyDescent="0.2">
      <c r="B54" s="170" t="s">
        <v>65</v>
      </c>
      <c r="C54" s="444">
        <f t="shared" si="0"/>
        <v>0</v>
      </c>
      <c r="D54" s="433"/>
      <c r="E54" s="176"/>
      <c r="F54" s="197"/>
    </row>
    <row r="55" spans="2:6" x14ac:dyDescent="0.2">
      <c r="B55" s="169" t="s">
        <v>66</v>
      </c>
      <c r="C55" s="444">
        <f t="shared" si="0"/>
        <v>0</v>
      </c>
      <c r="D55" s="433"/>
      <c r="E55" s="176"/>
      <c r="F55" s="197"/>
    </row>
    <row r="56" spans="2:6" x14ac:dyDescent="0.2">
      <c r="B56" s="169" t="s">
        <v>123</v>
      </c>
      <c r="C56" s="444">
        <f t="shared" si="0"/>
        <v>10000</v>
      </c>
      <c r="D56" s="433">
        <f>F8</f>
        <v>10000</v>
      </c>
      <c r="E56" s="176"/>
      <c r="F56" s="197"/>
    </row>
    <row r="57" spans="2:6" x14ac:dyDescent="0.2">
      <c r="B57" s="170" t="s">
        <v>68</v>
      </c>
      <c r="C57" s="444">
        <f t="shared" si="0"/>
        <v>0</v>
      </c>
      <c r="D57" s="433"/>
      <c r="E57" s="176"/>
      <c r="F57" s="197"/>
    </row>
    <row r="58" spans="2:6" x14ac:dyDescent="0.2">
      <c r="B58" s="170" t="s">
        <v>69</v>
      </c>
      <c r="C58" s="444">
        <f t="shared" si="0"/>
        <v>0</v>
      </c>
      <c r="D58" s="433">
        <f>+F9</f>
        <v>0</v>
      </c>
      <c r="E58" s="176"/>
      <c r="F58" s="197"/>
    </row>
    <row r="59" spans="2:6" x14ac:dyDescent="0.2">
      <c r="B59" s="134" t="s">
        <v>74</v>
      </c>
      <c r="C59" s="445">
        <f>SUM(C52:C58)</f>
        <v>117515</v>
      </c>
      <c r="D59" s="445">
        <f>SUM(D52:D58)</f>
        <v>117515</v>
      </c>
      <c r="E59" s="198">
        <f>SUM(E52:E58)</f>
        <v>0</v>
      </c>
      <c r="F59" s="198">
        <f>SUM(F52:F58)</f>
        <v>0</v>
      </c>
    </row>
    <row r="61" spans="2:6" ht="27.75" customHeight="1" x14ac:dyDescent="0.2">
      <c r="B61" s="620" t="s">
        <v>242</v>
      </c>
      <c r="C61" s="621"/>
      <c r="D61" s="621"/>
      <c r="E61" s="621"/>
      <c r="F61" s="622"/>
    </row>
    <row r="62" spans="2:6" x14ac:dyDescent="0.2">
      <c r="B62" s="190" t="s">
        <v>62</v>
      </c>
      <c r="C62" s="191" t="s">
        <v>59</v>
      </c>
      <c r="D62" s="192" t="s">
        <v>2</v>
      </c>
      <c r="E62" s="207" t="s">
        <v>71</v>
      </c>
      <c r="F62" s="192" t="s">
        <v>72</v>
      </c>
    </row>
    <row r="63" spans="2:6" x14ac:dyDescent="0.2">
      <c r="B63" s="169" t="s">
        <v>63</v>
      </c>
      <c r="C63" s="444">
        <f>D63+E63+F63</f>
        <v>145115.6</v>
      </c>
      <c r="D63" s="433">
        <f>F27+F18</f>
        <v>77396</v>
      </c>
      <c r="E63" s="434">
        <f>F14</f>
        <v>24419.599999999999</v>
      </c>
      <c r="F63" s="435">
        <f>+E41</f>
        <v>43300</v>
      </c>
    </row>
    <row r="64" spans="2:6" x14ac:dyDescent="0.2">
      <c r="B64" s="169" t="s">
        <v>64</v>
      </c>
      <c r="C64" s="444">
        <f t="shared" ref="C64:C69" si="1">D64+E64+F64</f>
        <v>0</v>
      </c>
      <c r="D64" s="433"/>
      <c r="E64" s="434"/>
      <c r="F64" s="435"/>
    </row>
    <row r="65" spans="2:6" x14ac:dyDescent="0.2">
      <c r="B65" s="170" t="s">
        <v>65</v>
      </c>
      <c r="C65" s="444">
        <f t="shared" si="1"/>
        <v>0</v>
      </c>
      <c r="D65" s="433"/>
      <c r="E65" s="434"/>
      <c r="F65" s="435"/>
    </row>
    <row r="66" spans="2:6" x14ac:dyDescent="0.2">
      <c r="B66" s="169" t="s">
        <v>66</v>
      </c>
      <c r="C66" s="444">
        <f t="shared" si="1"/>
        <v>0</v>
      </c>
      <c r="D66" s="433"/>
      <c r="E66" s="434"/>
      <c r="F66" s="435"/>
    </row>
    <row r="67" spans="2:6" x14ac:dyDescent="0.2">
      <c r="B67" s="169" t="s">
        <v>123</v>
      </c>
      <c r="C67" s="444">
        <f t="shared" si="1"/>
        <v>34597</v>
      </c>
      <c r="D67" s="433">
        <f>F28</f>
        <v>17671</v>
      </c>
      <c r="E67" s="434">
        <f>F15</f>
        <v>4926</v>
      </c>
      <c r="F67" s="435">
        <f>+E42</f>
        <v>12000</v>
      </c>
    </row>
    <row r="68" spans="2:6" x14ac:dyDescent="0.2">
      <c r="B68" s="170" t="s">
        <v>68</v>
      </c>
      <c r="C68" s="444">
        <f t="shared" si="1"/>
        <v>0</v>
      </c>
      <c r="D68" s="433"/>
      <c r="E68" s="434"/>
      <c r="F68" s="435"/>
    </row>
    <row r="69" spans="2:6" x14ac:dyDescent="0.2">
      <c r="B69" s="170" t="s">
        <v>69</v>
      </c>
      <c r="C69" s="444">
        <f t="shared" si="1"/>
        <v>14673</v>
      </c>
      <c r="D69" s="433">
        <f>F29</f>
        <v>5000</v>
      </c>
      <c r="E69" s="434">
        <f>F16</f>
        <v>4673</v>
      </c>
      <c r="F69" s="435">
        <f>+E43</f>
        <v>5000</v>
      </c>
    </row>
    <row r="70" spans="2:6" x14ac:dyDescent="0.2">
      <c r="B70" s="134" t="s">
        <v>74</v>
      </c>
      <c r="C70" s="445">
        <f>SUM(C63:C69)</f>
        <v>194385.6</v>
      </c>
      <c r="D70" s="445">
        <f>SUM(D63:D69)</f>
        <v>100067</v>
      </c>
      <c r="E70" s="445">
        <f>SUM(E63:E69)</f>
        <v>34018.6</v>
      </c>
      <c r="F70" s="445">
        <f>SUM(F63:F69)</f>
        <v>60300</v>
      </c>
    </row>
  </sheetData>
  <mergeCells count="28">
    <mergeCell ref="B14:B25"/>
    <mergeCell ref="D18:D20"/>
    <mergeCell ref="E12:F12"/>
    <mergeCell ref="C14:C15"/>
    <mergeCell ref="C18:C20"/>
    <mergeCell ref="D14:D16"/>
    <mergeCell ref="C22:C24"/>
    <mergeCell ref="D22:D24"/>
    <mergeCell ref="B4:F4"/>
    <mergeCell ref="E5:F5"/>
    <mergeCell ref="B11:F11"/>
    <mergeCell ref="B12:B13"/>
    <mergeCell ref="D12:D13"/>
    <mergeCell ref="C5:C6"/>
    <mergeCell ref="D5:D6"/>
    <mergeCell ref="B5:B6"/>
    <mergeCell ref="B7:B9"/>
    <mergeCell ref="C7:C9"/>
    <mergeCell ref="D7:D9"/>
    <mergeCell ref="C12:C13"/>
    <mergeCell ref="B61:F61"/>
    <mergeCell ref="B50:F50"/>
    <mergeCell ref="D27:D29"/>
    <mergeCell ref="D31:D33"/>
    <mergeCell ref="B27:B29"/>
    <mergeCell ref="C31:C33"/>
    <mergeCell ref="B31:B33"/>
    <mergeCell ref="C27:C28"/>
  </mergeCells>
  <pageMargins left="0.70866141732283472" right="0.70866141732283472" top="0.74803149606299213" bottom="0.74803149606299213" header="0.31496062992125984" footer="0.31496062992125984"/>
  <pageSetup paperSize="9" scale="78" orientation="landscape" horizontalDpi="300" verticalDpi="300"/>
  <rowBreaks count="1" manualBreakCount="1">
    <brk id="3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G71"/>
  <sheetViews>
    <sheetView showGridLines="0" topLeftCell="A9" zoomScale="125" zoomScaleNormal="125" zoomScalePageLayoutView="125" workbookViewId="0">
      <selection activeCell="A39" sqref="A39:XFD47"/>
    </sheetView>
  </sheetViews>
  <sheetFormatPr baseColWidth="10" defaultColWidth="9.1640625" defaultRowHeight="12" x14ac:dyDescent="0.2"/>
  <cols>
    <col min="1" max="1" width="1.1640625" style="183" customWidth="1"/>
    <col min="2" max="2" width="54" style="183" customWidth="1"/>
    <col min="3" max="3" width="52.33203125" style="183" customWidth="1"/>
    <col min="4" max="4" width="10.1640625" style="183" customWidth="1"/>
    <col min="5" max="5" width="29.6640625" style="183" customWidth="1"/>
    <col min="6" max="6" width="14.1640625" style="183" customWidth="1"/>
    <col min="7" max="7" width="14.6640625" style="183" customWidth="1"/>
    <col min="8" max="16384" width="9.1640625" style="183"/>
  </cols>
  <sheetData>
    <row r="3" spans="2:6" ht="24" customHeight="1" x14ac:dyDescent="0.2">
      <c r="B3" s="743" t="s">
        <v>268</v>
      </c>
      <c r="C3" s="743"/>
      <c r="D3" s="146"/>
      <c r="E3" s="146"/>
      <c r="F3" s="233"/>
    </row>
    <row r="4" spans="2:6" ht="26.25" customHeight="1" x14ac:dyDescent="0.2">
      <c r="B4" s="623" t="s">
        <v>187</v>
      </c>
      <c r="C4" s="623"/>
      <c r="D4" s="623"/>
      <c r="E4" s="623"/>
      <c r="F4" s="623"/>
    </row>
    <row r="5" spans="2:6" ht="12" customHeight="1" x14ac:dyDescent="0.2">
      <c r="B5" s="640" t="s">
        <v>106</v>
      </c>
      <c r="C5" s="640" t="s">
        <v>107</v>
      </c>
      <c r="D5" s="640" t="s">
        <v>108</v>
      </c>
      <c r="E5" s="642" t="s">
        <v>109</v>
      </c>
      <c r="F5" s="642"/>
    </row>
    <row r="6" spans="2:6" ht="15" customHeight="1" x14ac:dyDescent="0.2">
      <c r="B6" s="641"/>
      <c r="C6" s="641"/>
      <c r="D6" s="641"/>
      <c r="E6" s="467" t="s">
        <v>62</v>
      </c>
      <c r="F6" s="467" t="s">
        <v>110</v>
      </c>
    </row>
    <row r="7" spans="2:6" ht="21" customHeight="1" x14ac:dyDescent="0.2">
      <c r="B7" s="606" t="s">
        <v>270</v>
      </c>
      <c r="C7" s="606" t="s">
        <v>275</v>
      </c>
      <c r="D7" s="644" t="s">
        <v>2</v>
      </c>
      <c r="E7" s="158" t="s">
        <v>63</v>
      </c>
      <c r="F7" s="523">
        <v>89599.752443180623</v>
      </c>
    </row>
    <row r="8" spans="2:6" ht="15" customHeight="1" x14ac:dyDescent="0.2">
      <c r="B8" s="607"/>
      <c r="C8" s="607"/>
      <c r="D8" s="644"/>
      <c r="E8" s="158" t="s">
        <v>123</v>
      </c>
      <c r="F8" s="524">
        <v>14632.604345020483</v>
      </c>
    </row>
    <row r="9" spans="2:6" ht="27" customHeight="1" x14ac:dyDescent="0.2">
      <c r="B9" s="607"/>
      <c r="C9" s="608"/>
      <c r="D9" s="644"/>
      <c r="E9" s="154" t="s">
        <v>69</v>
      </c>
      <c r="F9" s="525">
        <v>843.62072219690663</v>
      </c>
    </row>
    <row r="10" spans="2:6" x14ac:dyDescent="0.2">
      <c r="B10" s="139" t="s">
        <v>182</v>
      </c>
      <c r="C10" s="142"/>
      <c r="D10" s="238"/>
      <c r="E10" s="139"/>
      <c r="F10" s="526">
        <f>SUM(F7:F9)</f>
        <v>105075.97751039802</v>
      </c>
    </row>
    <row r="11" spans="2:6" ht="28.5" customHeight="1" x14ac:dyDescent="0.2">
      <c r="B11" s="620" t="s">
        <v>242</v>
      </c>
      <c r="C11" s="621"/>
      <c r="D11" s="621"/>
      <c r="E11" s="621"/>
      <c r="F11" s="622"/>
    </row>
    <row r="12" spans="2:6" ht="17.25" customHeight="1" x14ac:dyDescent="0.2">
      <c r="B12" s="640" t="s">
        <v>106</v>
      </c>
      <c r="C12" s="640" t="s">
        <v>107</v>
      </c>
      <c r="D12" s="640" t="s">
        <v>108</v>
      </c>
      <c r="E12" s="642" t="s">
        <v>109</v>
      </c>
      <c r="F12" s="642"/>
    </row>
    <row r="13" spans="2:6" ht="16.5" customHeight="1" x14ac:dyDescent="0.2">
      <c r="B13" s="641"/>
      <c r="C13" s="641"/>
      <c r="D13" s="641"/>
      <c r="E13" s="467" t="s">
        <v>62</v>
      </c>
      <c r="F13" s="467" t="s">
        <v>110</v>
      </c>
    </row>
    <row r="14" spans="2:6" ht="48" x14ac:dyDescent="0.2">
      <c r="B14" s="606" t="s">
        <v>271</v>
      </c>
      <c r="C14" s="118" t="s">
        <v>276</v>
      </c>
      <c r="D14" s="644" t="s">
        <v>2</v>
      </c>
      <c r="E14" s="158" t="s">
        <v>63</v>
      </c>
      <c r="F14" s="523">
        <v>62719.826710226429</v>
      </c>
    </row>
    <row r="15" spans="2:6" ht="30.75" customHeight="1" x14ac:dyDescent="0.2">
      <c r="B15" s="607"/>
      <c r="C15" s="660" t="s">
        <v>278</v>
      </c>
      <c r="D15" s="644"/>
      <c r="E15" s="158" t="s">
        <v>123</v>
      </c>
      <c r="F15" s="524">
        <v>10242.823041514337</v>
      </c>
    </row>
    <row r="16" spans="2:6" ht="26" customHeight="1" x14ac:dyDescent="0.2">
      <c r="B16" s="607"/>
      <c r="C16" s="660"/>
      <c r="D16" s="644"/>
      <c r="E16" s="154" t="s">
        <v>69</v>
      </c>
      <c r="F16" s="524">
        <v>590.53450553783466</v>
      </c>
    </row>
    <row r="17" spans="2:7" ht="15" customHeight="1" x14ac:dyDescent="0.2">
      <c r="B17" s="139" t="s">
        <v>74</v>
      </c>
      <c r="C17" s="142"/>
      <c r="D17" s="238"/>
      <c r="E17" s="139"/>
      <c r="F17" s="526">
        <f>SUM(F14:F16)</f>
        <v>73553.184257278597</v>
      </c>
    </row>
    <row r="18" spans="2:7" ht="23" customHeight="1" x14ac:dyDescent="0.2">
      <c r="B18" s="606" t="s">
        <v>272</v>
      </c>
      <c r="C18" s="728" t="s">
        <v>277</v>
      </c>
      <c r="D18" s="644" t="s">
        <v>2</v>
      </c>
      <c r="E18" s="155" t="s">
        <v>63</v>
      </c>
      <c r="F18" s="523">
        <v>26879.925732954187</v>
      </c>
    </row>
    <row r="19" spans="2:7" ht="18" customHeight="1" x14ac:dyDescent="0.2">
      <c r="B19" s="607"/>
      <c r="C19" s="729"/>
      <c r="D19" s="644"/>
      <c r="E19" s="158" t="s">
        <v>123</v>
      </c>
      <c r="F19" s="524">
        <v>4389.7813035061445</v>
      </c>
    </row>
    <row r="20" spans="2:7" ht="24" customHeight="1" x14ac:dyDescent="0.2">
      <c r="B20" s="608"/>
      <c r="C20" s="730"/>
      <c r="D20" s="645"/>
      <c r="E20" s="158" t="s">
        <v>69</v>
      </c>
      <c r="F20" s="524">
        <v>253.08621665907199</v>
      </c>
    </row>
    <row r="21" spans="2:7" ht="15.75" customHeight="1" x14ac:dyDescent="0.2">
      <c r="B21" s="139" t="s">
        <v>74</v>
      </c>
      <c r="C21" s="142"/>
      <c r="D21" s="238"/>
      <c r="E21" s="139"/>
      <c r="F21" s="526">
        <f>SUM(F18:F20)</f>
        <v>31522.793253119402</v>
      </c>
    </row>
    <row r="22" spans="2:7" ht="36" customHeight="1" x14ac:dyDescent="0.2">
      <c r="B22" s="649" t="s">
        <v>273</v>
      </c>
      <c r="C22" s="116" t="s">
        <v>279</v>
      </c>
      <c r="D22" s="647" t="s">
        <v>72</v>
      </c>
      <c r="E22" s="116" t="s">
        <v>63</v>
      </c>
      <c r="F22" s="527">
        <v>94000</v>
      </c>
    </row>
    <row r="23" spans="2:7" ht="24.75" customHeight="1" x14ac:dyDescent="0.2">
      <c r="B23" s="650"/>
      <c r="C23" s="694" t="s">
        <v>274</v>
      </c>
      <c r="D23" s="647"/>
      <c r="E23" s="116" t="s">
        <v>123</v>
      </c>
      <c r="F23" s="527">
        <v>0</v>
      </c>
    </row>
    <row r="24" spans="2:7" ht="24" x14ac:dyDescent="0.2">
      <c r="B24" s="650"/>
      <c r="C24" s="695"/>
      <c r="D24" s="648"/>
      <c r="E24" s="116" t="s">
        <v>69</v>
      </c>
      <c r="F24" s="528">
        <v>0</v>
      </c>
    </row>
    <row r="25" spans="2:7" ht="16.5" customHeight="1" x14ac:dyDescent="0.2">
      <c r="B25" s="248" t="s">
        <v>74</v>
      </c>
      <c r="C25" s="142"/>
      <c r="D25" s="238"/>
      <c r="E25" s="139"/>
      <c r="F25" s="526">
        <f>SUM(F22:F24)</f>
        <v>94000</v>
      </c>
    </row>
    <row r="26" spans="2:7" ht="16.5" customHeight="1" x14ac:dyDescent="0.2">
      <c r="B26" s="291" t="s">
        <v>182</v>
      </c>
      <c r="C26" s="142"/>
      <c r="D26" s="238"/>
      <c r="E26" s="139"/>
      <c r="F26" s="526">
        <f>F17+F21+F25</f>
        <v>199075.97751039799</v>
      </c>
    </row>
    <row r="27" spans="2:7" x14ac:dyDescent="0.2">
      <c r="B27" s="172" t="s">
        <v>77</v>
      </c>
      <c r="C27" s="167"/>
      <c r="D27" s="167"/>
      <c r="E27" s="167"/>
      <c r="F27" s="529">
        <f>F26+F10</f>
        <v>304151.95502079604</v>
      </c>
      <c r="G27" s="234"/>
    </row>
    <row r="28" spans="2:7" x14ac:dyDescent="0.2">
      <c r="B28" s="169" t="s">
        <v>167</v>
      </c>
      <c r="C28" s="170"/>
      <c r="D28" s="170"/>
      <c r="E28" s="170"/>
      <c r="F28" s="455">
        <f>0.07*F27</f>
        <v>21290.636851455725</v>
      </c>
      <c r="G28" s="234"/>
    </row>
    <row r="29" spans="2:7" x14ac:dyDescent="0.2">
      <c r="B29" s="172" t="s">
        <v>149</v>
      </c>
      <c r="C29" s="167"/>
      <c r="D29" s="167"/>
      <c r="E29" s="167"/>
      <c r="F29" s="529">
        <f>SUM(F27:F28)</f>
        <v>325442.59187225177</v>
      </c>
      <c r="G29" s="234"/>
    </row>
    <row r="32" spans="2:7" x14ac:dyDescent="0.2">
      <c r="B32" s="173" t="s">
        <v>168</v>
      </c>
      <c r="C32" s="174" t="s">
        <v>2</v>
      </c>
      <c r="D32" s="174" t="s">
        <v>71</v>
      </c>
      <c r="E32" s="174" t="s">
        <v>72</v>
      </c>
      <c r="F32" s="174" t="s">
        <v>60</v>
      </c>
    </row>
    <row r="33" spans="2:7" x14ac:dyDescent="0.2">
      <c r="B33" s="135" t="s">
        <v>63</v>
      </c>
      <c r="C33" s="530">
        <f>F7+F14+F18</f>
        <v>179199.50488636125</v>
      </c>
      <c r="D33" s="461"/>
      <c r="E33" s="453">
        <f>F22</f>
        <v>94000</v>
      </c>
      <c r="F33" s="455">
        <f t="shared" ref="F33:F38" si="0">SUM(C33:E33)</f>
        <v>273199.50488636125</v>
      </c>
    </row>
    <row r="34" spans="2:7" x14ac:dyDescent="0.2">
      <c r="B34" s="135" t="s">
        <v>123</v>
      </c>
      <c r="C34" s="530">
        <f>F8+F15+F19</f>
        <v>29265.208690040967</v>
      </c>
      <c r="D34" s="461"/>
      <c r="E34" s="453">
        <f>F23</f>
        <v>0</v>
      </c>
      <c r="F34" s="455">
        <f t="shared" si="0"/>
        <v>29265.208690040967</v>
      </c>
    </row>
    <row r="35" spans="2:7" x14ac:dyDescent="0.2">
      <c r="B35" s="136" t="s">
        <v>69</v>
      </c>
      <c r="C35" s="530">
        <f>F9+F16+F20</f>
        <v>1687.2414443938135</v>
      </c>
      <c r="D35" s="461"/>
      <c r="E35" s="453">
        <f>F24</f>
        <v>0</v>
      </c>
      <c r="F35" s="455">
        <f t="shared" si="0"/>
        <v>1687.2414443938135</v>
      </c>
    </row>
    <row r="36" spans="2:7" x14ac:dyDescent="0.2">
      <c r="B36" s="179" t="s">
        <v>169</v>
      </c>
      <c r="C36" s="454">
        <f>SUM(C33:C35)</f>
        <v>210151.95502079604</v>
      </c>
      <c r="D36" s="454"/>
      <c r="E36" s="454">
        <f>SUM(E33:E35)</f>
        <v>94000</v>
      </c>
      <c r="F36" s="454">
        <f t="shared" si="0"/>
        <v>304151.95502079604</v>
      </c>
      <c r="G36" s="235">
        <f>C60+C71</f>
        <v>304151.95502079604</v>
      </c>
    </row>
    <row r="37" spans="2:7" x14ac:dyDescent="0.2">
      <c r="B37" s="169" t="s">
        <v>121</v>
      </c>
      <c r="C37" s="530">
        <f>0.07*C36</f>
        <v>14710.636851455723</v>
      </c>
      <c r="D37" s="461"/>
      <c r="E37" s="453">
        <f>0.07*E36</f>
        <v>6580.0000000000009</v>
      </c>
      <c r="F37" s="455">
        <f t="shared" si="0"/>
        <v>21290.636851455725</v>
      </c>
    </row>
    <row r="38" spans="2:7" x14ac:dyDescent="0.2">
      <c r="B38" s="185" t="s">
        <v>1</v>
      </c>
      <c r="C38" s="531">
        <f>SUM(C36:C37)</f>
        <v>224862.59187225177</v>
      </c>
      <c r="D38" s="532">
        <f>SUM(D36:D37)</f>
        <v>0</v>
      </c>
      <c r="E38" s="503">
        <f>SUM(E36:E37)</f>
        <v>100580</v>
      </c>
      <c r="F38" s="459">
        <f t="shared" si="0"/>
        <v>325442.59187225177</v>
      </c>
    </row>
    <row r="39" spans="2:7" ht="13.5" hidden="1" customHeight="1" x14ac:dyDescent="0.2"/>
    <row r="40" spans="2:7" hidden="1" x14ac:dyDescent="0.2">
      <c r="B40" s="236" t="s">
        <v>340</v>
      </c>
    </row>
    <row r="41" spans="2:7" hidden="1" x14ac:dyDescent="0.2">
      <c r="B41" s="173" t="s">
        <v>168</v>
      </c>
      <c r="C41" s="174" t="s">
        <v>2</v>
      </c>
      <c r="D41" s="174" t="s">
        <v>72</v>
      </c>
      <c r="E41" s="174" t="s">
        <v>1</v>
      </c>
    </row>
    <row r="42" spans="2:7" hidden="1" x14ac:dyDescent="0.2">
      <c r="B42" s="135" t="s">
        <v>63</v>
      </c>
      <c r="C42" s="459">
        <f>F14+F18</f>
        <v>89599.752443180623</v>
      </c>
      <c r="D42" s="459">
        <f>D33</f>
        <v>0</v>
      </c>
      <c r="E42" s="459">
        <f>SUM(C42:D42)</f>
        <v>89599.752443180623</v>
      </c>
    </row>
    <row r="43" spans="2:7" hidden="1" x14ac:dyDescent="0.2">
      <c r="B43" s="135" t="s">
        <v>123</v>
      </c>
      <c r="C43" s="459">
        <f>F15+F19</f>
        <v>14632.604345020482</v>
      </c>
      <c r="D43" s="459">
        <f>D34</f>
        <v>0</v>
      </c>
      <c r="E43" s="459">
        <f>SUM(C43:D43)</f>
        <v>14632.604345020482</v>
      </c>
    </row>
    <row r="44" spans="2:7" hidden="1" x14ac:dyDescent="0.2">
      <c r="B44" s="136" t="s">
        <v>69</v>
      </c>
      <c r="C44" s="459">
        <f>F16+F20</f>
        <v>843.62072219690663</v>
      </c>
      <c r="D44" s="459">
        <f>D35</f>
        <v>0</v>
      </c>
      <c r="E44" s="459">
        <f>SUM(C44:D44)</f>
        <v>843.62072219690663</v>
      </c>
    </row>
    <row r="45" spans="2:7" hidden="1" x14ac:dyDescent="0.2">
      <c r="B45" s="289" t="s">
        <v>169</v>
      </c>
      <c r="C45" s="459">
        <f>SUM(C42:C44)</f>
        <v>105075.97751039802</v>
      </c>
      <c r="D45" s="459">
        <f>SUM(D42:D44)</f>
        <v>0</v>
      </c>
      <c r="E45" s="459">
        <f>SUM(E42:E44)</f>
        <v>105075.97751039802</v>
      </c>
    </row>
    <row r="46" spans="2:7" hidden="1" x14ac:dyDescent="0.2">
      <c r="B46" s="169" t="s">
        <v>121</v>
      </c>
      <c r="C46" s="459">
        <f>0.07*C45</f>
        <v>7355.3184257278617</v>
      </c>
      <c r="D46" s="459">
        <f>0.07*D45</f>
        <v>0</v>
      </c>
      <c r="E46" s="459">
        <f>0.07*E45</f>
        <v>7355.3184257278617</v>
      </c>
    </row>
    <row r="47" spans="2:7" hidden="1" x14ac:dyDescent="0.2">
      <c r="B47" s="174" t="s">
        <v>1</v>
      </c>
      <c r="C47" s="550">
        <f>SUM(C45:C46)</f>
        <v>112431.29593612588</v>
      </c>
      <c r="D47" s="550">
        <f>SUM(D45:D46)</f>
        <v>0</v>
      </c>
      <c r="E47" s="550">
        <f>SUM(E45:E46)</f>
        <v>112431.29593612588</v>
      </c>
    </row>
    <row r="49" spans="2:6" ht="13" thickBot="1" x14ac:dyDescent="0.25">
      <c r="B49" s="187" t="s">
        <v>170</v>
      </c>
      <c r="C49" s="504">
        <f>'Comparaison 2020 '!F18</f>
        <v>210151</v>
      </c>
      <c r="D49" s="504">
        <f>'Comparaison 2020 '!G18</f>
        <v>0</v>
      </c>
      <c r="E49" s="504">
        <f>'Comparaison 2020 '!H18</f>
        <v>94000</v>
      </c>
      <c r="F49" s="187">
        <f>'Comparaison 2020 '!I18</f>
        <v>0</v>
      </c>
    </row>
    <row r="50" spans="2:6" ht="13" thickTop="1" x14ac:dyDescent="0.2"/>
    <row r="51" spans="2:6" ht="12" customHeight="1" x14ac:dyDescent="0.2">
      <c r="B51" s="623" t="s">
        <v>187</v>
      </c>
      <c r="C51" s="623"/>
      <c r="D51" s="623"/>
      <c r="E51" s="623"/>
      <c r="F51" s="623"/>
    </row>
    <row r="52" spans="2:6" x14ac:dyDescent="0.2">
      <c r="B52" s="485" t="s">
        <v>62</v>
      </c>
      <c r="C52" s="191" t="s">
        <v>59</v>
      </c>
      <c r="D52" s="237" t="s">
        <v>2</v>
      </c>
      <c r="E52" s="193" t="s">
        <v>71</v>
      </c>
      <c r="F52" s="237" t="s">
        <v>72</v>
      </c>
    </row>
    <row r="53" spans="2:6" x14ac:dyDescent="0.2">
      <c r="B53" s="486" t="s">
        <v>63</v>
      </c>
      <c r="C53" s="533">
        <f>D53+E53+F53</f>
        <v>89599.752443180623</v>
      </c>
      <c r="D53" s="530">
        <f>F7</f>
        <v>89599.752443180623</v>
      </c>
      <c r="E53" s="196"/>
      <c r="F53" s="177"/>
    </row>
    <row r="54" spans="2:6" x14ac:dyDescent="0.2">
      <c r="B54" s="486" t="s">
        <v>64</v>
      </c>
      <c r="C54" s="533">
        <f t="shared" ref="C54:C59" si="1">D54+E54+F54</f>
        <v>0</v>
      </c>
      <c r="D54" s="530"/>
      <c r="E54" s="196"/>
      <c r="F54" s="177"/>
    </row>
    <row r="55" spans="2:6" x14ac:dyDescent="0.2">
      <c r="B55" s="487" t="s">
        <v>65</v>
      </c>
      <c r="C55" s="533">
        <f t="shared" si="1"/>
        <v>0</v>
      </c>
      <c r="D55" s="530"/>
      <c r="E55" s="196"/>
      <c r="F55" s="177"/>
    </row>
    <row r="56" spans="2:6" x14ac:dyDescent="0.2">
      <c r="B56" s="486" t="s">
        <v>66</v>
      </c>
      <c r="C56" s="533">
        <f t="shared" si="1"/>
        <v>0</v>
      </c>
      <c r="D56" s="530"/>
      <c r="E56" s="196"/>
      <c r="F56" s="177"/>
    </row>
    <row r="57" spans="2:6" x14ac:dyDescent="0.2">
      <c r="B57" s="486" t="s">
        <v>123</v>
      </c>
      <c r="C57" s="533">
        <f t="shared" si="1"/>
        <v>14632.604345020483</v>
      </c>
      <c r="D57" s="530">
        <f>F8</f>
        <v>14632.604345020483</v>
      </c>
      <c r="E57" s="196"/>
      <c r="F57" s="177"/>
    </row>
    <row r="58" spans="2:6" x14ac:dyDescent="0.2">
      <c r="B58" s="487" t="s">
        <v>68</v>
      </c>
      <c r="C58" s="533">
        <f t="shared" si="1"/>
        <v>0</v>
      </c>
      <c r="D58" s="530"/>
      <c r="E58" s="196"/>
      <c r="F58" s="177"/>
    </row>
    <row r="59" spans="2:6" x14ac:dyDescent="0.2">
      <c r="B59" s="487" t="s">
        <v>69</v>
      </c>
      <c r="C59" s="533">
        <f t="shared" si="1"/>
        <v>843.62072219690663</v>
      </c>
      <c r="D59" s="530">
        <f>F9</f>
        <v>843.62072219690663</v>
      </c>
      <c r="E59" s="196"/>
      <c r="F59" s="177"/>
    </row>
    <row r="60" spans="2:6" x14ac:dyDescent="0.2">
      <c r="B60" s="488" t="s">
        <v>74</v>
      </c>
      <c r="C60" s="462">
        <f>SUM(C53:C59)</f>
        <v>105075.97751039802</v>
      </c>
      <c r="D60" s="462">
        <f>SUM(D53:D59)</f>
        <v>105075.97751039802</v>
      </c>
      <c r="E60" s="199">
        <f>SUM(E53:E59)</f>
        <v>0</v>
      </c>
      <c r="F60" s="199">
        <f>SUM(F53:F59)</f>
        <v>0</v>
      </c>
    </row>
    <row r="62" spans="2:6" ht="23.25" customHeight="1" x14ac:dyDescent="0.2">
      <c r="B62" s="620" t="s">
        <v>242</v>
      </c>
      <c r="C62" s="621"/>
      <c r="D62" s="621"/>
      <c r="E62" s="621"/>
      <c r="F62" s="622"/>
    </row>
    <row r="63" spans="2:6" x14ac:dyDescent="0.2">
      <c r="B63" s="485" t="s">
        <v>62</v>
      </c>
      <c r="C63" s="191" t="s">
        <v>59</v>
      </c>
      <c r="D63" s="237" t="s">
        <v>2</v>
      </c>
      <c r="E63" s="193" t="s">
        <v>71</v>
      </c>
      <c r="F63" s="237" t="s">
        <v>72</v>
      </c>
    </row>
    <row r="64" spans="2:6" x14ac:dyDescent="0.2">
      <c r="B64" s="486" t="s">
        <v>63</v>
      </c>
      <c r="C64" s="533">
        <f>D64+E64+F64</f>
        <v>183599.75244318062</v>
      </c>
      <c r="D64" s="530">
        <f>F14+F18</f>
        <v>89599.752443180623</v>
      </c>
      <c r="E64" s="461"/>
      <c r="F64" s="453">
        <f>E33</f>
        <v>94000</v>
      </c>
    </row>
    <row r="65" spans="2:6" x14ac:dyDescent="0.2">
      <c r="B65" s="486" t="s">
        <v>64</v>
      </c>
      <c r="C65" s="533">
        <f t="shared" ref="C65:C70" si="2">D65+E65+F65</f>
        <v>0</v>
      </c>
      <c r="D65" s="530"/>
      <c r="E65" s="461"/>
      <c r="F65" s="453"/>
    </row>
    <row r="66" spans="2:6" x14ac:dyDescent="0.2">
      <c r="B66" s="487" t="s">
        <v>65</v>
      </c>
      <c r="C66" s="533">
        <f t="shared" si="2"/>
        <v>0</v>
      </c>
      <c r="D66" s="530"/>
      <c r="E66" s="461"/>
      <c r="F66" s="453"/>
    </row>
    <row r="67" spans="2:6" x14ac:dyDescent="0.2">
      <c r="B67" s="486" t="s">
        <v>66</v>
      </c>
      <c r="C67" s="533">
        <f t="shared" si="2"/>
        <v>0</v>
      </c>
      <c r="D67" s="530"/>
      <c r="E67" s="461"/>
      <c r="F67" s="453"/>
    </row>
    <row r="68" spans="2:6" x14ac:dyDescent="0.2">
      <c r="B68" s="486" t="s">
        <v>123</v>
      </c>
      <c r="C68" s="533">
        <f t="shared" si="2"/>
        <v>14632.604345020482</v>
      </c>
      <c r="D68" s="530">
        <f>F15+F19</f>
        <v>14632.604345020482</v>
      </c>
      <c r="E68" s="461"/>
      <c r="F68" s="453"/>
    </row>
    <row r="69" spans="2:6" x14ac:dyDescent="0.2">
      <c r="B69" s="487" t="s">
        <v>68</v>
      </c>
      <c r="C69" s="533">
        <f t="shared" si="2"/>
        <v>0</v>
      </c>
      <c r="D69" s="530"/>
      <c r="E69" s="461"/>
      <c r="F69" s="453"/>
    </row>
    <row r="70" spans="2:6" x14ac:dyDescent="0.2">
      <c r="B70" s="487" t="s">
        <v>69</v>
      </c>
      <c r="C70" s="533">
        <f t="shared" si="2"/>
        <v>843.62072219690663</v>
      </c>
      <c r="D70" s="530">
        <f>F16+F20</f>
        <v>843.62072219690663</v>
      </c>
      <c r="E70" s="461"/>
      <c r="F70" s="453"/>
    </row>
    <row r="71" spans="2:6" x14ac:dyDescent="0.2">
      <c r="B71" s="488" t="s">
        <v>74</v>
      </c>
      <c r="C71" s="462">
        <f>SUM(C64:C70)</f>
        <v>199075.97751039802</v>
      </c>
      <c r="D71" s="462">
        <f>SUM(D64:D70)</f>
        <v>105075.97751039802</v>
      </c>
      <c r="E71" s="462">
        <f>SUM(E64:E70)</f>
        <v>0</v>
      </c>
      <c r="F71" s="462">
        <f>SUM(F64:F70)</f>
        <v>94000</v>
      </c>
    </row>
  </sheetData>
  <mergeCells count="25">
    <mergeCell ref="C7:C9"/>
    <mergeCell ref="E12:F12"/>
    <mergeCell ref="D14:D16"/>
    <mergeCell ref="C15:C16"/>
    <mergeCell ref="B11:F11"/>
    <mergeCell ref="B7:B9"/>
    <mergeCell ref="D7:D9"/>
    <mergeCell ref="B62:F62"/>
    <mergeCell ref="B51:F51"/>
    <mergeCell ref="C12:C13"/>
    <mergeCell ref="C18:C20"/>
    <mergeCell ref="D22:D24"/>
    <mergeCell ref="B14:B16"/>
    <mergeCell ref="B12:B13"/>
    <mergeCell ref="D12:D13"/>
    <mergeCell ref="B18:B20"/>
    <mergeCell ref="C23:C24"/>
    <mergeCell ref="B22:B24"/>
    <mergeCell ref="D18:D20"/>
    <mergeCell ref="B3:C3"/>
    <mergeCell ref="B4:F4"/>
    <mergeCell ref="E5:F5"/>
    <mergeCell ref="B5:B6"/>
    <mergeCell ref="D5:D6"/>
    <mergeCell ref="C5:C6"/>
  </mergeCells>
  <pageMargins left="0.70866141732283472" right="0.70866141732283472" top="0.74803149606299213" bottom="0.74803149606299213" header="0.31496062992125984" footer="0.31496062992125984"/>
  <pageSetup paperSize="9" scale="80" orientation="landscape"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G49"/>
  <sheetViews>
    <sheetView showGridLines="0" zoomScale="125" zoomScaleNormal="125" zoomScalePageLayoutView="125" workbookViewId="0">
      <selection activeCell="D7" sqref="D7:D9"/>
    </sheetView>
  </sheetViews>
  <sheetFormatPr baseColWidth="10" defaultColWidth="9.1640625" defaultRowHeight="12" x14ac:dyDescent="0.15"/>
  <cols>
    <col min="1" max="1" width="0.83203125" style="159" customWidth="1"/>
    <col min="2" max="2" width="45.33203125" style="182" customWidth="1"/>
    <col min="3" max="3" width="50.5" style="182" customWidth="1"/>
    <col min="4" max="4" width="10.5" style="182" customWidth="1"/>
    <col min="5" max="5" width="26.83203125" style="182" customWidth="1"/>
    <col min="6" max="6" width="14.1640625" style="182" customWidth="1"/>
    <col min="7" max="7" width="17.1640625" style="159" customWidth="1"/>
    <col min="8" max="16384" width="9.1640625" style="159"/>
  </cols>
  <sheetData>
    <row r="3" spans="2:7" x14ac:dyDescent="0.15">
      <c r="B3" s="132" t="s">
        <v>287</v>
      </c>
      <c r="C3" s="132"/>
      <c r="D3" s="132"/>
      <c r="E3" s="132"/>
      <c r="F3" s="133"/>
    </row>
    <row r="4" spans="2:7" ht="28.5" customHeight="1" x14ac:dyDescent="0.15">
      <c r="B4" s="620" t="s">
        <v>242</v>
      </c>
      <c r="C4" s="621"/>
      <c r="D4" s="621"/>
      <c r="E4" s="621"/>
      <c r="F4" s="622"/>
    </row>
    <row r="5" spans="2:7" ht="17.25" customHeight="1" x14ac:dyDescent="0.15">
      <c r="B5" s="640" t="s">
        <v>106</v>
      </c>
      <c r="C5" s="640" t="s">
        <v>107</v>
      </c>
      <c r="D5" s="640" t="s">
        <v>108</v>
      </c>
      <c r="E5" s="642" t="s">
        <v>109</v>
      </c>
      <c r="F5" s="642"/>
    </row>
    <row r="6" spans="2:7" ht="16.5" customHeight="1" x14ac:dyDescent="0.15">
      <c r="B6" s="641"/>
      <c r="C6" s="641"/>
      <c r="D6" s="641"/>
      <c r="E6" s="467" t="s">
        <v>62</v>
      </c>
      <c r="F6" s="467" t="s">
        <v>110</v>
      </c>
    </row>
    <row r="7" spans="2:7" ht="36" x14ac:dyDescent="0.15">
      <c r="B7" s="694" t="s">
        <v>280</v>
      </c>
      <c r="C7" s="116" t="s">
        <v>281</v>
      </c>
      <c r="D7" s="646" t="s">
        <v>72</v>
      </c>
      <c r="E7" s="469" t="s">
        <v>63</v>
      </c>
      <c r="F7" s="448">
        <v>170000</v>
      </c>
    </row>
    <row r="8" spans="2:7" ht="21" customHeight="1" x14ac:dyDescent="0.15">
      <c r="B8" s="712"/>
      <c r="C8" s="694" t="s">
        <v>282</v>
      </c>
      <c r="D8" s="647"/>
      <c r="E8" s="115" t="s">
        <v>123</v>
      </c>
      <c r="F8" s="448">
        <v>30000</v>
      </c>
    </row>
    <row r="9" spans="2:7" ht="26" customHeight="1" x14ac:dyDescent="0.15">
      <c r="B9" s="695"/>
      <c r="C9" s="695"/>
      <c r="D9" s="648"/>
      <c r="E9" s="116" t="s">
        <v>69</v>
      </c>
      <c r="F9" s="448">
        <v>0</v>
      </c>
    </row>
    <row r="10" spans="2:7" x14ac:dyDescent="0.15">
      <c r="B10" s="139" t="s">
        <v>74</v>
      </c>
      <c r="C10" s="142"/>
      <c r="D10" s="238"/>
      <c r="E10" s="139"/>
      <c r="F10" s="526">
        <f>SUM(F7:F9)</f>
        <v>200000</v>
      </c>
    </row>
    <row r="11" spans="2:7" ht="24" x14ac:dyDescent="0.15">
      <c r="B11" s="649" t="s">
        <v>283</v>
      </c>
      <c r="C11" s="116" t="s">
        <v>284</v>
      </c>
      <c r="D11" s="646" t="s">
        <v>72</v>
      </c>
      <c r="E11" s="469" t="s">
        <v>63</v>
      </c>
      <c r="F11" s="498">
        <v>230000</v>
      </c>
    </row>
    <row r="12" spans="2:7" ht="24" x14ac:dyDescent="0.15">
      <c r="B12" s="650"/>
      <c r="C12" s="116" t="s">
        <v>285</v>
      </c>
      <c r="D12" s="647"/>
      <c r="E12" s="115" t="s">
        <v>123</v>
      </c>
      <c r="F12" s="498">
        <v>37000</v>
      </c>
    </row>
    <row r="13" spans="2:7" ht="30" customHeight="1" x14ac:dyDescent="0.15">
      <c r="B13" s="651"/>
      <c r="C13" s="116" t="s">
        <v>286</v>
      </c>
      <c r="D13" s="648"/>
      <c r="E13" s="116" t="s">
        <v>69</v>
      </c>
      <c r="F13" s="448">
        <v>0</v>
      </c>
    </row>
    <row r="14" spans="2:7" x14ac:dyDescent="0.15">
      <c r="B14" s="139" t="s">
        <v>74</v>
      </c>
      <c r="C14" s="142"/>
      <c r="D14" s="238"/>
      <c r="E14" s="139"/>
      <c r="F14" s="526">
        <f>SUM(F11:F13)</f>
        <v>267000</v>
      </c>
    </row>
    <row r="15" spans="2:7" x14ac:dyDescent="0.15">
      <c r="B15" s="172" t="s">
        <v>77</v>
      </c>
      <c r="C15" s="166"/>
      <c r="D15" s="166"/>
      <c r="E15" s="166"/>
      <c r="F15" s="450">
        <f>F14+F10</f>
        <v>467000</v>
      </c>
      <c r="G15" s="546">
        <v>467000</v>
      </c>
    </row>
    <row r="16" spans="2:7" x14ac:dyDescent="0.15">
      <c r="B16" s="169" t="s">
        <v>167</v>
      </c>
      <c r="C16" s="169"/>
      <c r="D16" s="169"/>
      <c r="E16" s="169"/>
      <c r="F16" s="436">
        <f>0.07*F15</f>
        <v>32690.000000000004</v>
      </c>
      <c r="G16" s="168"/>
    </row>
    <row r="17" spans="2:7" x14ac:dyDescent="0.15">
      <c r="B17" s="172" t="s">
        <v>149</v>
      </c>
      <c r="C17" s="166"/>
      <c r="D17" s="166"/>
      <c r="E17" s="166"/>
      <c r="F17" s="450">
        <f>SUM(F15:F16)</f>
        <v>499690</v>
      </c>
      <c r="G17" s="168"/>
    </row>
    <row r="20" spans="2:7" x14ac:dyDescent="0.15">
      <c r="B20" s="173" t="s">
        <v>168</v>
      </c>
      <c r="C20" s="239" t="s">
        <v>2</v>
      </c>
      <c r="D20" s="239" t="s">
        <v>71</v>
      </c>
      <c r="E20" s="239" t="s">
        <v>72</v>
      </c>
      <c r="F20" s="239" t="s">
        <v>60</v>
      </c>
    </row>
    <row r="21" spans="2:7" x14ac:dyDescent="0.15">
      <c r="B21" s="135" t="s">
        <v>63</v>
      </c>
      <c r="C21" s="175"/>
      <c r="D21" s="176"/>
      <c r="E21" s="435">
        <f>F7+F11</f>
        <v>400000</v>
      </c>
      <c r="F21" s="436">
        <f t="shared" ref="F21:F26" si="0">SUM(C21:E21)</f>
        <v>400000</v>
      </c>
      <c r="G21" s="546"/>
    </row>
    <row r="22" spans="2:7" x14ac:dyDescent="0.15">
      <c r="B22" s="135" t="s">
        <v>123</v>
      </c>
      <c r="C22" s="175"/>
      <c r="D22" s="176"/>
      <c r="E22" s="435">
        <f>F8+F12</f>
        <v>67000</v>
      </c>
      <c r="F22" s="436">
        <f t="shared" si="0"/>
        <v>67000</v>
      </c>
      <c r="G22" s="546"/>
    </row>
    <row r="23" spans="2:7" x14ac:dyDescent="0.15">
      <c r="B23" s="136" t="s">
        <v>69</v>
      </c>
      <c r="C23" s="175"/>
      <c r="D23" s="176"/>
      <c r="E23" s="435">
        <f>F9+F13</f>
        <v>0</v>
      </c>
      <c r="F23" s="436">
        <f t="shared" si="0"/>
        <v>0</v>
      </c>
      <c r="G23" s="546"/>
    </row>
    <row r="24" spans="2:7" x14ac:dyDescent="0.15">
      <c r="B24" s="179" t="s">
        <v>169</v>
      </c>
      <c r="C24" s="180"/>
      <c r="D24" s="203"/>
      <c r="E24" s="437">
        <f>SUM(E21:E23)</f>
        <v>467000</v>
      </c>
      <c r="F24" s="547">
        <f t="shared" si="0"/>
        <v>467000</v>
      </c>
      <c r="G24" s="546">
        <f>C38+C49</f>
        <v>467000</v>
      </c>
    </row>
    <row r="25" spans="2:7" x14ac:dyDescent="0.15">
      <c r="B25" s="169" t="s">
        <v>121</v>
      </c>
      <c r="C25" s="228"/>
      <c r="D25" s="229"/>
      <c r="E25" s="435">
        <f>0.07*E24</f>
        <v>32690.000000000004</v>
      </c>
      <c r="F25" s="436">
        <f t="shared" si="0"/>
        <v>32690.000000000004</v>
      </c>
      <c r="G25" s="546"/>
    </row>
    <row r="26" spans="2:7" x14ac:dyDescent="0.15">
      <c r="B26" s="185" t="s">
        <v>1</v>
      </c>
      <c r="C26" s="232"/>
      <c r="D26" s="287"/>
      <c r="E26" s="440">
        <f>E25+E24</f>
        <v>499690</v>
      </c>
      <c r="F26" s="441">
        <f t="shared" si="0"/>
        <v>499690</v>
      </c>
      <c r="G26" s="546"/>
    </row>
    <row r="27" spans="2:7" ht="13" thickBot="1" x14ac:dyDescent="0.2">
      <c r="B27" s="187" t="s">
        <v>170</v>
      </c>
      <c r="C27" s="296">
        <f>'Comparaison 2020 '!F19</f>
        <v>0</v>
      </c>
      <c r="D27" s="296">
        <f>'Comparaison 2020 '!G19</f>
        <v>0</v>
      </c>
      <c r="E27" s="548">
        <f>'Comparaison 2020 '!H19</f>
        <v>467000</v>
      </c>
      <c r="F27" s="548">
        <f>'Comparaison 2020 '!I19</f>
        <v>0</v>
      </c>
      <c r="G27" s="546"/>
    </row>
    <row r="28" spans="2:7" ht="13" thickTop="1" x14ac:dyDescent="0.15"/>
    <row r="29" spans="2:7" ht="12" customHeight="1" x14ac:dyDescent="0.15">
      <c r="B29" s="623" t="s">
        <v>187</v>
      </c>
      <c r="C29" s="623"/>
      <c r="D29" s="623"/>
      <c r="E29" s="623"/>
      <c r="F29" s="623"/>
    </row>
    <row r="30" spans="2:7" x14ac:dyDescent="0.15">
      <c r="B30" s="485" t="s">
        <v>62</v>
      </c>
      <c r="C30" s="191" t="s">
        <v>59</v>
      </c>
      <c r="D30" s="192" t="s">
        <v>2</v>
      </c>
      <c r="E30" s="207" t="s">
        <v>71</v>
      </c>
      <c r="F30" s="192" t="s">
        <v>72</v>
      </c>
    </row>
    <row r="31" spans="2:7" x14ac:dyDescent="0.15">
      <c r="B31" s="486" t="s">
        <v>63</v>
      </c>
      <c r="C31" s="444">
        <f>D31+E31+F31</f>
        <v>400000</v>
      </c>
      <c r="D31" s="549"/>
      <c r="E31" s="536"/>
      <c r="F31" s="435">
        <f>E21</f>
        <v>400000</v>
      </c>
    </row>
    <row r="32" spans="2:7" x14ac:dyDescent="0.15">
      <c r="B32" s="486" t="s">
        <v>64</v>
      </c>
      <c r="C32" s="444">
        <f t="shared" ref="C32:C37" si="1">D32+E32+F32</f>
        <v>0</v>
      </c>
      <c r="D32" s="549"/>
      <c r="E32" s="536"/>
      <c r="F32" s="435"/>
    </row>
    <row r="33" spans="2:6" x14ac:dyDescent="0.15">
      <c r="B33" s="487" t="s">
        <v>65</v>
      </c>
      <c r="C33" s="444">
        <f t="shared" si="1"/>
        <v>0</v>
      </c>
      <c r="D33" s="549"/>
      <c r="E33" s="536"/>
      <c r="F33" s="435"/>
    </row>
    <row r="34" spans="2:6" x14ac:dyDescent="0.15">
      <c r="B34" s="486" t="s">
        <v>66</v>
      </c>
      <c r="C34" s="444">
        <f t="shared" si="1"/>
        <v>0</v>
      </c>
      <c r="D34" s="549"/>
      <c r="E34" s="536"/>
      <c r="F34" s="435"/>
    </row>
    <row r="35" spans="2:6" x14ac:dyDescent="0.15">
      <c r="B35" s="486" t="s">
        <v>123</v>
      </c>
      <c r="C35" s="444">
        <f t="shared" si="1"/>
        <v>67000</v>
      </c>
      <c r="D35" s="549"/>
      <c r="E35" s="536"/>
      <c r="F35" s="435">
        <f>E22</f>
        <v>67000</v>
      </c>
    </row>
    <row r="36" spans="2:6" x14ac:dyDescent="0.15">
      <c r="B36" s="487" t="s">
        <v>68</v>
      </c>
      <c r="C36" s="444">
        <f t="shared" si="1"/>
        <v>0</v>
      </c>
      <c r="D36" s="549"/>
      <c r="E36" s="536"/>
      <c r="F36" s="435"/>
    </row>
    <row r="37" spans="2:6" x14ac:dyDescent="0.15">
      <c r="B37" s="487" t="s">
        <v>69</v>
      </c>
      <c r="C37" s="444">
        <f t="shared" si="1"/>
        <v>0</v>
      </c>
      <c r="D37" s="549"/>
      <c r="E37" s="536"/>
      <c r="F37" s="435"/>
    </row>
    <row r="38" spans="2:6" x14ac:dyDescent="0.15">
      <c r="B38" s="488" t="s">
        <v>74</v>
      </c>
      <c r="C38" s="445">
        <f>SUM(C31:C37)</f>
        <v>467000</v>
      </c>
      <c r="D38" s="445">
        <f>SUM(D31:D37)</f>
        <v>0</v>
      </c>
      <c r="E38" s="445">
        <f>SUM(E31:E37)</f>
        <v>0</v>
      </c>
      <c r="F38" s="445">
        <f>SUM(F31:F37)</f>
        <v>467000</v>
      </c>
    </row>
    <row r="39" spans="2:6" ht="16.5" customHeight="1" x14ac:dyDescent="0.15"/>
    <row r="40" spans="2:6" ht="31.5" customHeight="1" x14ac:dyDescent="0.15">
      <c r="B40" s="620" t="s">
        <v>242</v>
      </c>
      <c r="C40" s="621"/>
      <c r="D40" s="621"/>
      <c r="E40" s="621"/>
      <c r="F40" s="622"/>
    </row>
    <row r="41" spans="2:6" x14ac:dyDescent="0.15">
      <c r="B41" s="485" t="s">
        <v>62</v>
      </c>
      <c r="C41" s="191" t="s">
        <v>59</v>
      </c>
      <c r="D41" s="192" t="s">
        <v>2</v>
      </c>
      <c r="E41" s="207" t="s">
        <v>71</v>
      </c>
      <c r="F41" s="192" t="s">
        <v>72</v>
      </c>
    </row>
    <row r="42" spans="2:6" x14ac:dyDescent="0.15">
      <c r="B42" s="486" t="s">
        <v>63</v>
      </c>
      <c r="C42" s="194">
        <f>D42+E42+F42</f>
        <v>0</v>
      </c>
      <c r="D42" s="228"/>
      <c r="E42" s="229"/>
      <c r="F42" s="197"/>
    </row>
    <row r="43" spans="2:6" x14ac:dyDescent="0.15">
      <c r="B43" s="486" t="s">
        <v>64</v>
      </c>
      <c r="C43" s="194">
        <f t="shared" ref="C43:C48" si="2">D43+E43+F43</f>
        <v>0</v>
      </c>
      <c r="D43" s="228"/>
      <c r="E43" s="229"/>
      <c r="F43" s="197"/>
    </row>
    <row r="44" spans="2:6" x14ac:dyDescent="0.15">
      <c r="B44" s="487" t="s">
        <v>65</v>
      </c>
      <c r="C44" s="194">
        <f t="shared" si="2"/>
        <v>0</v>
      </c>
      <c r="D44" s="228"/>
      <c r="E44" s="229"/>
      <c r="F44" s="197"/>
    </row>
    <row r="45" spans="2:6" x14ac:dyDescent="0.15">
      <c r="B45" s="486" t="s">
        <v>66</v>
      </c>
      <c r="C45" s="194">
        <f t="shared" si="2"/>
        <v>0</v>
      </c>
      <c r="D45" s="228"/>
      <c r="E45" s="229"/>
      <c r="F45" s="197"/>
    </row>
    <row r="46" spans="2:6" x14ac:dyDescent="0.15">
      <c r="B46" s="486" t="s">
        <v>123</v>
      </c>
      <c r="C46" s="194">
        <f t="shared" si="2"/>
        <v>0</v>
      </c>
      <c r="D46" s="228"/>
      <c r="E46" s="229"/>
      <c r="F46" s="197"/>
    </row>
    <row r="47" spans="2:6" x14ac:dyDescent="0.15">
      <c r="B47" s="487" t="s">
        <v>68</v>
      </c>
      <c r="C47" s="194">
        <f t="shared" si="2"/>
        <v>0</v>
      </c>
      <c r="D47" s="228"/>
      <c r="E47" s="229"/>
      <c r="F47" s="197"/>
    </row>
    <row r="48" spans="2:6" x14ac:dyDescent="0.15">
      <c r="B48" s="487" t="s">
        <v>69</v>
      </c>
      <c r="C48" s="194">
        <f t="shared" si="2"/>
        <v>0</v>
      </c>
      <c r="D48" s="228"/>
      <c r="E48" s="229"/>
      <c r="F48" s="197"/>
    </row>
    <row r="49" spans="2:6" x14ac:dyDescent="0.15">
      <c r="B49" s="488" t="s">
        <v>74</v>
      </c>
      <c r="C49" s="198">
        <f>SUM(C42:C48)</f>
        <v>0</v>
      </c>
      <c r="D49" s="198">
        <f>SUM(D42:D48)</f>
        <v>0</v>
      </c>
      <c r="E49" s="198">
        <f>SUM(E42:E48)</f>
        <v>0</v>
      </c>
      <c r="F49" s="198">
        <f>SUM(F42:F48)</f>
        <v>0</v>
      </c>
    </row>
  </sheetData>
  <mergeCells count="12">
    <mergeCell ref="D11:D13"/>
    <mergeCell ref="B40:F40"/>
    <mergeCell ref="B29:F29"/>
    <mergeCell ref="B11:B13"/>
    <mergeCell ref="B7:B9"/>
    <mergeCell ref="C8:C9"/>
    <mergeCell ref="D7:D9"/>
    <mergeCell ref="B4:F4"/>
    <mergeCell ref="B5:B6"/>
    <mergeCell ref="C5:C6"/>
    <mergeCell ref="D5:D6"/>
    <mergeCell ref="E5:F5"/>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2:H35"/>
  <sheetViews>
    <sheetView showGridLines="0" topLeftCell="A6" zoomScaleSheetLayoutView="75" workbookViewId="0">
      <selection activeCell="I26" sqref="I26"/>
    </sheetView>
  </sheetViews>
  <sheetFormatPr baseColWidth="10" defaultColWidth="23.6640625" defaultRowHeight="15" x14ac:dyDescent="0.2"/>
  <cols>
    <col min="1" max="1" width="2.6640625" style="1" customWidth="1"/>
    <col min="2" max="2" width="46" style="2" customWidth="1"/>
    <col min="3" max="3" width="11.33203125" style="1" customWidth="1"/>
    <col min="4" max="4" width="11.5" style="1" customWidth="1"/>
    <col min="5" max="5" width="11.1640625" style="1" customWidth="1"/>
    <col min="6" max="6" width="12.83203125" style="1" customWidth="1"/>
    <col min="7" max="16384" width="23.6640625" style="1"/>
  </cols>
  <sheetData>
    <row r="2" spans="2:8" ht="24.75" customHeight="1" x14ac:dyDescent="0.2">
      <c r="B2" s="556" t="s">
        <v>29</v>
      </c>
      <c r="C2" s="556"/>
      <c r="D2" s="556"/>
      <c r="E2" s="556"/>
      <c r="F2" s="556"/>
    </row>
    <row r="3" spans="2:8" ht="26.25" customHeight="1" x14ac:dyDescent="0.2">
      <c r="B3" s="553" t="s">
        <v>30</v>
      </c>
      <c r="C3" s="554"/>
      <c r="D3" s="554"/>
      <c r="E3" s="554"/>
      <c r="F3" s="555"/>
      <c r="G3" s="4"/>
      <c r="H3" s="4"/>
    </row>
    <row r="4" spans="2:8" ht="20.25" customHeight="1" x14ac:dyDescent="0.2">
      <c r="B4" s="51" t="s">
        <v>31</v>
      </c>
      <c r="C4" s="51">
        <v>2018</v>
      </c>
      <c r="D4" s="52" t="s">
        <v>2</v>
      </c>
      <c r="E4" s="53" t="s">
        <v>3</v>
      </c>
      <c r="F4" s="52" t="s">
        <v>4</v>
      </c>
      <c r="G4" s="5"/>
      <c r="H4" s="3"/>
    </row>
    <row r="5" spans="2:8" ht="20.25" customHeight="1" x14ac:dyDescent="0.2">
      <c r="B5" s="48" t="s">
        <v>32</v>
      </c>
      <c r="C5" s="54" t="e">
        <f>#REF!+#REF!+#REF!</f>
        <v>#REF!</v>
      </c>
      <c r="D5" s="54" t="e">
        <f>#REF!+#REF!+#REF!</f>
        <v>#REF!</v>
      </c>
      <c r="E5" s="55" t="e">
        <f>'Cote d''Ivoire'!#REF!+#REF!+#REF!+Global!H5</f>
        <v>#REF!</v>
      </c>
      <c r="F5" s="55" t="e">
        <f>#REF!+#REF!+#REF!</f>
        <v>#REF!</v>
      </c>
      <c r="G5" s="5"/>
      <c r="H5" s="3"/>
    </row>
    <row r="6" spans="2:8" ht="20.25" customHeight="1" x14ac:dyDescent="0.2">
      <c r="B6" s="48" t="s">
        <v>33</v>
      </c>
      <c r="C6" s="54" t="e">
        <f>#REF!+#REF!+#REF!</f>
        <v>#REF!</v>
      </c>
      <c r="D6" s="54" t="e">
        <f>#REF!+#REF!+#REF!</f>
        <v>#REF!</v>
      </c>
      <c r="E6" s="55" t="e">
        <f>'Cote d''Ivoire'!#REF!+#REF!+#REF!+Global!H6</f>
        <v>#REF!</v>
      </c>
      <c r="F6" s="55" t="e">
        <f>#REF!+#REF!+#REF!</f>
        <v>#REF!</v>
      </c>
      <c r="G6" s="5"/>
    </row>
    <row r="7" spans="2:8" ht="20.25" customHeight="1" x14ac:dyDescent="0.2">
      <c r="B7" s="49" t="s">
        <v>34</v>
      </c>
      <c r="C7" s="54" t="e">
        <f>#REF!+#REF!+#REF!</f>
        <v>#REF!</v>
      </c>
      <c r="D7" s="54" t="e">
        <f>#REF!+#REF!+#REF!</f>
        <v>#REF!</v>
      </c>
      <c r="E7" s="55" t="e">
        <f>'Cote d''Ivoire'!#REF!+#REF!+#REF!+Global!H7</f>
        <v>#REF!</v>
      </c>
      <c r="F7" s="55" t="e">
        <f>#REF!+#REF!+#REF!</f>
        <v>#REF!</v>
      </c>
      <c r="G7" s="5"/>
      <c r="H7" s="3"/>
    </row>
    <row r="8" spans="2:8" ht="20.25" customHeight="1" x14ac:dyDescent="0.2">
      <c r="B8" s="48" t="s">
        <v>35</v>
      </c>
      <c r="C8" s="54" t="e">
        <f>#REF!+#REF!+#REF!</f>
        <v>#REF!</v>
      </c>
      <c r="D8" s="54" t="e">
        <f>#REF!+#REF!+#REF!</f>
        <v>#REF!</v>
      </c>
      <c r="E8" s="55" t="e">
        <f>'Cote d''Ivoire'!#REF!+#REF!+#REF!+Global!H8</f>
        <v>#REF!</v>
      </c>
      <c r="F8" s="55" t="e">
        <f>#REF!+#REF!+#REF!</f>
        <v>#REF!</v>
      </c>
      <c r="G8" s="5"/>
      <c r="H8" s="3"/>
    </row>
    <row r="9" spans="2:8" ht="20.25" customHeight="1" x14ac:dyDescent="0.2">
      <c r="B9" s="48" t="s">
        <v>36</v>
      </c>
      <c r="C9" s="54" t="e">
        <f>#REF!+#REF!+#REF!</f>
        <v>#REF!</v>
      </c>
      <c r="D9" s="54" t="e">
        <f>#REF!+#REF!+#REF!</f>
        <v>#REF!</v>
      </c>
      <c r="E9" s="55" t="e">
        <f>'Cote d''Ivoire'!#REF!+#REF!+#REF!+Global!H9</f>
        <v>#REF!</v>
      </c>
      <c r="F9" s="55" t="e">
        <f>#REF!+#REF!+#REF!</f>
        <v>#REF!</v>
      </c>
      <c r="G9" s="5"/>
      <c r="H9" s="3"/>
    </row>
    <row r="10" spans="2:8" ht="20.25" customHeight="1" x14ac:dyDescent="0.2">
      <c r="B10" s="49" t="s">
        <v>37</v>
      </c>
      <c r="C10" s="54" t="e">
        <f>#REF!+#REF!+#REF!</f>
        <v>#REF!</v>
      </c>
      <c r="D10" s="54" t="e">
        <f>#REF!+#REF!+#REF!</f>
        <v>#REF!</v>
      </c>
      <c r="E10" s="55" t="e">
        <f>'Cote d''Ivoire'!#REF!+#REF!+#REF!+Global!H11</f>
        <v>#REF!</v>
      </c>
      <c r="F10" s="55" t="e">
        <f>#REF!+#REF!+#REF!</f>
        <v>#REF!</v>
      </c>
      <c r="G10" s="5"/>
      <c r="H10" s="3"/>
    </row>
    <row r="11" spans="2:8" ht="20.25" customHeight="1" x14ac:dyDescent="0.2">
      <c r="B11" s="56" t="s">
        <v>38</v>
      </c>
      <c r="C11" s="57" t="e">
        <f>SUM(C5:C10)</f>
        <v>#REF!</v>
      </c>
      <c r="D11" s="57" t="e">
        <f>SUM(D5:D10)</f>
        <v>#REF!</v>
      </c>
      <c r="E11" s="57" t="e">
        <f>SUM(E5:E10)</f>
        <v>#REF!</v>
      </c>
      <c r="F11" s="57" t="e">
        <f>SUM(F5:F10)</f>
        <v>#REF!</v>
      </c>
    </row>
    <row r="12" spans="2:8" ht="28.5" customHeight="1" x14ac:dyDescent="0.2">
      <c r="B12" s="553" t="s">
        <v>39</v>
      </c>
      <c r="C12" s="554"/>
      <c r="D12" s="554"/>
      <c r="E12" s="554"/>
      <c r="F12" s="555"/>
    </row>
    <row r="13" spans="2:8" ht="20.25" customHeight="1" x14ac:dyDescent="0.2">
      <c r="B13" s="51" t="s">
        <v>31</v>
      </c>
      <c r="C13" s="51">
        <v>2018</v>
      </c>
      <c r="D13" s="52" t="s">
        <v>2</v>
      </c>
      <c r="E13" s="53" t="s">
        <v>3</v>
      </c>
      <c r="F13" s="52" t="s">
        <v>4</v>
      </c>
    </row>
    <row r="14" spans="2:8" ht="20.25" customHeight="1" x14ac:dyDescent="0.2">
      <c r="B14" s="48" t="s">
        <v>32</v>
      </c>
      <c r="C14" s="58" t="e">
        <f>#REF!+#REF!+#REF!</f>
        <v>#REF!</v>
      </c>
      <c r="D14" s="59" t="e">
        <f>#REF!+#REF!+#REF!</f>
        <v>#REF!</v>
      </c>
      <c r="E14" s="59" t="e">
        <f>#REF!+#REF!+#REF!</f>
        <v>#REF!</v>
      </c>
      <c r="F14" s="59" t="e">
        <f>#REF!+#REF!+#REF!</f>
        <v>#REF!</v>
      </c>
    </row>
    <row r="15" spans="2:8" ht="20.25" customHeight="1" x14ac:dyDescent="0.2">
      <c r="B15" s="48" t="s">
        <v>33</v>
      </c>
      <c r="C15" s="58" t="e">
        <f>#REF!+#REF!+#REF!</f>
        <v>#REF!</v>
      </c>
      <c r="D15" s="59" t="e">
        <f>#REF!+#REF!+#REF!</f>
        <v>#REF!</v>
      </c>
      <c r="E15" s="59" t="e">
        <f>#REF!+#REF!+#REF!</f>
        <v>#REF!</v>
      </c>
      <c r="F15" s="59" t="e">
        <f>#REF!+#REF!+#REF!</f>
        <v>#REF!</v>
      </c>
    </row>
    <row r="16" spans="2:8" ht="20.25" customHeight="1" x14ac:dyDescent="0.2">
      <c r="B16" s="49" t="s">
        <v>34</v>
      </c>
      <c r="C16" s="58" t="e">
        <f>#REF!+#REF!+#REF!</f>
        <v>#REF!</v>
      </c>
      <c r="D16" s="59" t="e">
        <f>#REF!+#REF!+#REF!</f>
        <v>#REF!</v>
      </c>
      <c r="E16" s="59" t="e">
        <f>#REF!+#REF!+#REF!</f>
        <v>#REF!</v>
      </c>
      <c r="F16" s="59" t="e">
        <f>#REF!+#REF!+#REF!</f>
        <v>#REF!</v>
      </c>
    </row>
    <row r="17" spans="2:6" ht="20.25" customHeight="1" x14ac:dyDescent="0.2">
      <c r="B17" s="48" t="s">
        <v>35</v>
      </c>
      <c r="C17" s="58" t="e">
        <f>#REF!+#REF!+#REF!</f>
        <v>#REF!</v>
      </c>
      <c r="D17" s="59" t="e">
        <f>#REF!+#REF!+#REF!</f>
        <v>#REF!</v>
      </c>
      <c r="E17" s="59" t="e">
        <f>#REF!+#REF!+#REF!</f>
        <v>#REF!</v>
      </c>
      <c r="F17" s="59" t="e">
        <f>#REF!+#REF!+#REF!</f>
        <v>#REF!</v>
      </c>
    </row>
    <row r="18" spans="2:6" ht="20.25" customHeight="1" x14ac:dyDescent="0.2">
      <c r="B18" s="48" t="s">
        <v>36</v>
      </c>
      <c r="C18" s="58" t="e">
        <f>#REF!+#REF!+#REF!</f>
        <v>#REF!</v>
      </c>
      <c r="D18" s="59" t="e">
        <f>#REF!+#REF!+#REF!</f>
        <v>#REF!</v>
      </c>
      <c r="E18" s="59" t="e">
        <f>#REF!+#REF!+#REF!</f>
        <v>#REF!</v>
      </c>
      <c r="F18" s="59" t="e">
        <f>#REF!+#REF!+#REF!</f>
        <v>#REF!</v>
      </c>
    </row>
    <row r="19" spans="2:6" ht="20.25" customHeight="1" x14ac:dyDescent="0.2">
      <c r="B19" s="49" t="s">
        <v>37</v>
      </c>
      <c r="C19" s="58" t="e">
        <f>#REF!+#REF!+#REF!</f>
        <v>#REF!</v>
      </c>
      <c r="D19" s="59" t="e">
        <f>#REF!+#REF!+#REF!</f>
        <v>#REF!</v>
      </c>
      <c r="E19" s="59" t="e">
        <f>#REF!+#REF!+#REF!</f>
        <v>#REF!</v>
      </c>
      <c r="F19" s="59" t="e">
        <f>#REF!+#REF!+#REF!</f>
        <v>#REF!</v>
      </c>
    </row>
    <row r="20" spans="2:6" ht="20.25" customHeight="1" x14ac:dyDescent="0.2">
      <c r="B20" s="60" t="s">
        <v>38</v>
      </c>
      <c r="C20" s="61" t="e">
        <f>SUM(C14:C19)</f>
        <v>#REF!</v>
      </c>
      <c r="D20" s="61" t="e">
        <f>SUM(D14:D19)</f>
        <v>#REF!</v>
      </c>
      <c r="E20" s="61" t="e">
        <f>SUM(E14:E19)</f>
        <v>#REF!</v>
      </c>
      <c r="F20" s="61" t="e">
        <f>SUM(F14:F19)</f>
        <v>#REF!</v>
      </c>
    </row>
    <row r="21" spans="2:6" ht="20.25" customHeight="1" x14ac:dyDescent="0.2">
      <c r="B21" s="62" t="s">
        <v>40</v>
      </c>
      <c r="C21" s="63" t="e">
        <f>C20+C11</f>
        <v>#REF!</v>
      </c>
      <c r="D21" s="63" t="e">
        <f>D20+D11</f>
        <v>#REF!</v>
      </c>
      <c r="E21" s="63" t="e">
        <f>E20+E11</f>
        <v>#REF!</v>
      </c>
      <c r="F21" s="63" t="e">
        <f>F20+F11</f>
        <v>#REF!</v>
      </c>
    </row>
    <row r="22" spans="2:6" ht="20.25" customHeight="1" x14ac:dyDescent="0.2">
      <c r="B22" s="62" t="s">
        <v>41</v>
      </c>
      <c r="C22" s="63" t="e">
        <f>0.07*C21</f>
        <v>#REF!</v>
      </c>
      <c r="D22" s="63" t="e">
        <f>0.07*D21</f>
        <v>#REF!</v>
      </c>
      <c r="E22" s="63" t="e">
        <f>0.07*E21</f>
        <v>#REF!</v>
      </c>
      <c r="F22" s="63" t="e">
        <f>0.07*F21</f>
        <v>#REF!</v>
      </c>
    </row>
    <row r="23" spans="2:6" ht="20.25" customHeight="1" x14ac:dyDescent="0.2">
      <c r="B23" s="64" t="s">
        <v>42</v>
      </c>
      <c r="C23" s="65" t="e">
        <f>SUM(C21:C22)</f>
        <v>#REF!</v>
      </c>
      <c r="D23" s="65" t="e">
        <f>SUM(D21:D22)</f>
        <v>#REF!</v>
      </c>
      <c r="E23" s="65" t="e">
        <f>SUM(E21:E22)</f>
        <v>#REF!</v>
      </c>
      <c r="F23" s="65" t="e">
        <f>SUM(F21:F22)</f>
        <v>#REF!</v>
      </c>
    </row>
    <row r="24" spans="2:6" x14ac:dyDescent="0.2">
      <c r="D24" s="6"/>
    </row>
    <row r="25" spans="2:6" ht="16" thickBot="1" x14ac:dyDescent="0.25">
      <c r="D25" s="6"/>
      <c r="E25" s="6"/>
    </row>
    <row r="26" spans="2:6" ht="29" thickBot="1" x14ac:dyDescent="0.25">
      <c r="B26" s="36" t="s">
        <v>43</v>
      </c>
      <c r="C26" s="37" t="s">
        <v>44</v>
      </c>
      <c r="D26" s="37" t="s">
        <v>45</v>
      </c>
      <c r="E26" s="37" t="s">
        <v>46</v>
      </c>
      <c r="F26" s="37" t="s">
        <v>47</v>
      </c>
    </row>
    <row r="27" spans="2:6" ht="16" thickBot="1" x14ac:dyDescent="0.25">
      <c r="B27" s="38" t="s">
        <v>32</v>
      </c>
      <c r="C27" s="39" t="s">
        <v>48</v>
      </c>
      <c r="D27" s="40" t="s">
        <v>48</v>
      </c>
      <c r="E27" s="40" t="s">
        <v>48</v>
      </c>
      <c r="F27" s="45" t="e">
        <f>C5+C14+#REF!+#REF!</f>
        <v>#REF!</v>
      </c>
    </row>
    <row r="28" spans="2:6" ht="16" thickBot="1" x14ac:dyDescent="0.25">
      <c r="B28" s="38" t="s">
        <v>33</v>
      </c>
      <c r="C28" s="39"/>
      <c r="D28" s="40"/>
      <c r="E28" s="40"/>
      <c r="F28" s="45" t="e">
        <f>C6+C15+#REF!+#REF!</f>
        <v>#REF!</v>
      </c>
    </row>
    <row r="29" spans="2:6" ht="16" thickBot="1" x14ac:dyDescent="0.25">
      <c r="B29" s="38" t="s">
        <v>34</v>
      </c>
      <c r="C29" s="39"/>
      <c r="D29" s="40"/>
      <c r="E29" s="40"/>
      <c r="F29" s="45" t="e">
        <f>C7+C16+#REF!+#REF!</f>
        <v>#REF!</v>
      </c>
    </row>
    <row r="30" spans="2:6" ht="16" thickBot="1" x14ac:dyDescent="0.25">
      <c r="B30" s="38" t="s">
        <v>35</v>
      </c>
      <c r="C30" s="39"/>
      <c r="D30" s="40"/>
      <c r="E30" s="40"/>
      <c r="F30" s="45" t="e">
        <f>C8+C17+#REF!+#REF!</f>
        <v>#REF!</v>
      </c>
    </row>
    <row r="31" spans="2:6" ht="16" thickBot="1" x14ac:dyDescent="0.25">
      <c r="B31" s="38" t="s">
        <v>36</v>
      </c>
      <c r="C31" s="39"/>
      <c r="D31" s="40"/>
      <c r="E31" s="40"/>
      <c r="F31" s="45" t="e">
        <f>C9+C18+#REF!+#REF!</f>
        <v>#REF!</v>
      </c>
    </row>
    <row r="32" spans="2:6" ht="16" thickBot="1" x14ac:dyDescent="0.25">
      <c r="B32" s="38" t="s">
        <v>37</v>
      </c>
      <c r="C32" s="41"/>
      <c r="D32" s="41"/>
      <c r="E32" s="41"/>
      <c r="F32" s="45" t="e">
        <f>C10+C19+#REF!+#REF!</f>
        <v>#REF!</v>
      </c>
    </row>
    <row r="33" spans="2:6" ht="16" thickBot="1" x14ac:dyDescent="0.25">
      <c r="B33" s="38" t="s">
        <v>49</v>
      </c>
      <c r="C33" s="39"/>
      <c r="D33" s="40"/>
      <c r="E33" s="40"/>
      <c r="F33" s="45" t="e">
        <f>SUM(F27:F32)</f>
        <v>#REF!</v>
      </c>
    </row>
    <row r="34" spans="2:6" ht="16" thickBot="1" x14ac:dyDescent="0.25">
      <c r="B34" s="38" t="s">
        <v>50</v>
      </c>
      <c r="C34" s="39"/>
      <c r="D34" s="40"/>
      <c r="E34" s="40"/>
      <c r="F34" s="45" t="e">
        <f>0.07*F33</f>
        <v>#REF!</v>
      </c>
    </row>
    <row r="35" spans="2:6" ht="16" thickBot="1" x14ac:dyDescent="0.25">
      <c r="B35" s="42" t="s">
        <v>51</v>
      </c>
      <c r="C35" s="43"/>
      <c r="D35" s="44"/>
      <c r="E35" s="44"/>
      <c r="F35" s="46" t="e">
        <f>SUM(F33:F34)</f>
        <v>#REF!</v>
      </c>
    </row>
  </sheetData>
  <mergeCells count="3">
    <mergeCell ref="B3:F3"/>
    <mergeCell ref="B12:F12"/>
    <mergeCell ref="B2:F2"/>
  </mergeCells>
  <printOptions horizontalCentered="1"/>
  <pageMargins left="0.23622047244094491" right="0.23622047244094491" top="0.74803149606299213" bottom="0.74803149606299213" header="0.31496062992125984" footer="0.31496062992125984"/>
  <pageSetup paperSize="8" scale="74" fitToHeight="13" orientation="landscape"/>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G70"/>
  <sheetViews>
    <sheetView showGridLines="0" topLeftCell="B25" zoomScale="125" zoomScaleNormal="125" zoomScalePageLayoutView="125" workbookViewId="0">
      <selection activeCell="C63" sqref="C63:F70"/>
    </sheetView>
  </sheetViews>
  <sheetFormatPr baseColWidth="10" defaultColWidth="9.1640625" defaultRowHeight="12" x14ac:dyDescent="0.15"/>
  <cols>
    <col min="1" max="1" width="0.5" style="159" customWidth="1"/>
    <col min="2" max="3" width="47.1640625" style="182" customWidth="1"/>
    <col min="4" max="4" width="13.5" style="182" customWidth="1"/>
    <col min="5" max="5" width="25.5" style="182" customWidth="1"/>
    <col min="6" max="6" width="14.5" style="182" customWidth="1"/>
    <col min="7" max="7" width="16" style="159" customWidth="1"/>
    <col min="8" max="16384" width="9.1640625" style="159"/>
  </cols>
  <sheetData>
    <row r="3" spans="2:6" x14ac:dyDescent="0.15">
      <c r="B3" s="132" t="s">
        <v>288</v>
      </c>
      <c r="C3" s="132"/>
      <c r="D3" s="132"/>
      <c r="E3" s="132"/>
      <c r="F3" s="133"/>
    </row>
    <row r="4" spans="2:6" ht="25.5" customHeight="1" x14ac:dyDescent="0.15">
      <c r="B4" s="623" t="s">
        <v>187</v>
      </c>
      <c r="C4" s="623"/>
      <c r="D4" s="623"/>
      <c r="E4" s="623"/>
      <c r="F4" s="623"/>
    </row>
    <row r="5" spans="2:6" ht="12" customHeight="1" x14ac:dyDescent="0.15">
      <c r="B5" s="640" t="s">
        <v>106</v>
      </c>
      <c r="C5" s="640" t="s">
        <v>107</v>
      </c>
      <c r="D5" s="640" t="s">
        <v>108</v>
      </c>
      <c r="E5" s="642" t="s">
        <v>109</v>
      </c>
      <c r="F5" s="642"/>
    </row>
    <row r="6" spans="2:6" x14ac:dyDescent="0.15">
      <c r="B6" s="641"/>
      <c r="C6" s="641"/>
      <c r="D6" s="641"/>
      <c r="E6" s="467" t="s">
        <v>62</v>
      </c>
      <c r="F6" s="467" t="s">
        <v>110</v>
      </c>
    </row>
    <row r="7" spans="2:6" ht="23" customHeight="1" x14ac:dyDescent="0.15">
      <c r="B7" s="606" t="s">
        <v>289</v>
      </c>
      <c r="C7" s="606" t="s">
        <v>291</v>
      </c>
      <c r="D7" s="644" t="s">
        <v>2</v>
      </c>
      <c r="E7" s="470" t="s">
        <v>63</v>
      </c>
      <c r="F7" s="417">
        <v>89449.373486208933</v>
      </c>
    </row>
    <row r="8" spans="2:6" x14ac:dyDescent="0.15">
      <c r="B8" s="607"/>
      <c r="C8" s="608"/>
      <c r="D8" s="644"/>
      <c r="E8" s="137" t="s">
        <v>123</v>
      </c>
      <c r="F8" s="417">
        <v>13376.892690374671</v>
      </c>
    </row>
    <row r="9" spans="2:6" ht="24" x14ac:dyDescent="0.15">
      <c r="B9" s="607"/>
      <c r="C9" s="118" t="s">
        <v>292</v>
      </c>
      <c r="D9" s="645"/>
      <c r="E9" s="158" t="s">
        <v>69</v>
      </c>
      <c r="F9" s="417">
        <v>1645.0820088258008</v>
      </c>
    </row>
    <row r="10" spans="2:6" x14ac:dyDescent="0.15">
      <c r="B10" s="139" t="s">
        <v>182</v>
      </c>
      <c r="C10" s="142"/>
      <c r="D10" s="238"/>
      <c r="E10" s="139"/>
      <c r="F10" s="526">
        <f>SUM(F7:F9)</f>
        <v>104471.34818540941</v>
      </c>
    </row>
    <row r="11" spans="2:6" ht="28.5" customHeight="1" x14ac:dyDescent="0.15">
      <c r="B11" s="620" t="s">
        <v>242</v>
      </c>
      <c r="C11" s="621"/>
      <c r="D11" s="621"/>
      <c r="E11" s="621"/>
      <c r="F11" s="622"/>
    </row>
    <row r="12" spans="2:6" ht="17.25" customHeight="1" x14ac:dyDescent="0.15">
      <c r="B12" s="640" t="s">
        <v>106</v>
      </c>
      <c r="C12" s="640" t="s">
        <v>107</v>
      </c>
      <c r="D12" s="640" t="s">
        <v>108</v>
      </c>
      <c r="E12" s="642" t="s">
        <v>109</v>
      </c>
      <c r="F12" s="642"/>
    </row>
    <row r="13" spans="2:6" ht="16.5" customHeight="1" x14ac:dyDescent="0.15">
      <c r="B13" s="641"/>
      <c r="C13" s="641"/>
      <c r="D13" s="641"/>
      <c r="E13" s="467" t="s">
        <v>62</v>
      </c>
      <c r="F13" s="467" t="s">
        <v>110</v>
      </c>
    </row>
    <row r="14" spans="2:6" ht="54" customHeight="1" x14ac:dyDescent="0.15">
      <c r="B14" s="606" t="s">
        <v>290</v>
      </c>
      <c r="C14" s="117" t="s">
        <v>293</v>
      </c>
      <c r="D14" s="643" t="s">
        <v>2</v>
      </c>
      <c r="E14" s="470" t="s">
        <v>63</v>
      </c>
      <c r="F14" s="417">
        <v>89449.373486208933</v>
      </c>
    </row>
    <row r="15" spans="2:6" ht="51" customHeight="1" x14ac:dyDescent="0.15">
      <c r="B15" s="607"/>
      <c r="C15" s="117" t="s">
        <v>294</v>
      </c>
      <c r="D15" s="644"/>
      <c r="E15" s="137" t="s">
        <v>123</v>
      </c>
      <c r="F15" s="417">
        <v>13376.892690374671</v>
      </c>
    </row>
    <row r="16" spans="2:6" ht="22.5" customHeight="1" x14ac:dyDescent="0.15">
      <c r="B16" s="607"/>
      <c r="C16" s="612" t="s">
        <v>343</v>
      </c>
      <c r="D16" s="644"/>
      <c r="E16" s="606" t="s">
        <v>69</v>
      </c>
      <c r="F16" s="744">
        <v>1645.0820088258008</v>
      </c>
    </row>
    <row r="17" spans="2:7" ht="63" customHeight="1" x14ac:dyDescent="0.15">
      <c r="B17" s="608"/>
      <c r="C17" s="613"/>
      <c r="D17" s="645"/>
      <c r="E17" s="608"/>
      <c r="F17" s="745"/>
    </row>
    <row r="18" spans="2:7" x14ac:dyDescent="0.15">
      <c r="B18" s="139" t="s">
        <v>74</v>
      </c>
      <c r="C18" s="142"/>
      <c r="D18" s="238"/>
      <c r="E18" s="139"/>
      <c r="F18" s="526">
        <f>SUM(F14:F16)</f>
        <v>104471.34818540941</v>
      </c>
    </row>
    <row r="19" spans="2:7" ht="52" customHeight="1" x14ac:dyDescent="0.15">
      <c r="B19" s="614" t="s">
        <v>344</v>
      </c>
      <c r="C19" s="304" t="s">
        <v>295</v>
      </c>
      <c r="D19" s="618" t="s">
        <v>71</v>
      </c>
      <c r="E19" s="598" t="s">
        <v>63</v>
      </c>
      <c r="F19" s="705">
        <v>393712</v>
      </c>
    </row>
    <row r="20" spans="2:7" ht="28" customHeight="1" x14ac:dyDescent="0.15">
      <c r="B20" s="615"/>
      <c r="C20" s="304" t="s">
        <v>296</v>
      </c>
      <c r="D20" s="618"/>
      <c r="E20" s="604"/>
      <c r="F20" s="706"/>
    </row>
    <row r="21" spans="2:7" ht="49" customHeight="1" x14ac:dyDescent="0.15">
      <c r="B21" s="615"/>
      <c r="C21" s="304" t="s">
        <v>297</v>
      </c>
      <c r="D21" s="618"/>
      <c r="E21" s="599"/>
      <c r="F21" s="707"/>
    </row>
    <row r="22" spans="2:7" ht="52" customHeight="1" x14ac:dyDescent="0.15">
      <c r="B22" s="615"/>
      <c r="C22" s="304" t="s">
        <v>298</v>
      </c>
      <c r="D22" s="618"/>
      <c r="E22" s="702" t="s">
        <v>123</v>
      </c>
      <c r="F22" s="705">
        <v>46647</v>
      </c>
    </row>
    <row r="23" spans="2:7" ht="34" customHeight="1" x14ac:dyDescent="0.15">
      <c r="B23" s="615"/>
      <c r="C23" s="126" t="s">
        <v>299</v>
      </c>
      <c r="D23" s="618"/>
      <c r="E23" s="704"/>
      <c r="F23" s="707"/>
    </row>
    <row r="24" spans="2:7" ht="36" x14ac:dyDescent="0.15">
      <c r="B24" s="615"/>
      <c r="C24" s="126" t="s">
        <v>300</v>
      </c>
      <c r="D24" s="618"/>
      <c r="E24" s="598" t="s">
        <v>69</v>
      </c>
      <c r="F24" s="705">
        <v>77881</v>
      </c>
    </row>
    <row r="25" spans="2:7" ht="60" x14ac:dyDescent="0.15">
      <c r="B25" s="615"/>
      <c r="C25" s="126" t="s">
        <v>301</v>
      </c>
      <c r="D25" s="618"/>
      <c r="E25" s="599"/>
      <c r="F25" s="707"/>
    </row>
    <row r="26" spans="2:7" x14ac:dyDescent="0.15">
      <c r="B26" s="248" t="s">
        <v>74</v>
      </c>
      <c r="C26" s="142"/>
      <c r="D26" s="238"/>
      <c r="E26" s="139"/>
      <c r="F26" s="526">
        <f>SUM(F19:F25)</f>
        <v>518240</v>
      </c>
    </row>
    <row r="27" spans="2:7" x14ac:dyDescent="0.15">
      <c r="B27" s="291" t="s">
        <v>182</v>
      </c>
      <c r="C27" s="142"/>
      <c r="D27" s="238"/>
      <c r="E27" s="139"/>
      <c r="F27" s="526">
        <f>F18+F26</f>
        <v>622711.34818540944</v>
      </c>
    </row>
    <row r="28" spans="2:7" x14ac:dyDescent="0.15">
      <c r="B28" s="172" t="s">
        <v>77</v>
      </c>
      <c r="C28" s="166"/>
      <c r="D28" s="166"/>
      <c r="E28" s="166"/>
      <c r="F28" s="450">
        <f>F10+F27</f>
        <v>727182.69637081889</v>
      </c>
      <c r="G28" s="168"/>
    </row>
    <row r="29" spans="2:7" x14ac:dyDescent="0.15">
      <c r="B29" s="169" t="s">
        <v>167</v>
      </c>
      <c r="C29" s="169"/>
      <c r="D29" s="169"/>
      <c r="E29" s="169"/>
      <c r="F29" s="436">
        <f>0.07*F28</f>
        <v>50902.788745957325</v>
      </c>
      <c r="G29" s="168"/>
    </row>
    <row r="30" spans="2:7" x14ac:dyDescent="0.15">
      <c r="B30" s="172" t="s">
        <v>149</v>
      </c>
      <c r="C30" s="166"/>
      <c r="D30" s="166"/>
      <c r="E30" s="166"/>
      <c r="F30" s="450">
        <f>SUM(F28:F29)</f>
        <v>778085.4851167762</v>
      </c>
      <c r="G30" s="168"/>
    </row>
    <row r="32" spans="2:7" x14ac:dyDescent="0.15">
      <c r="B32" s="173" t="s">
        <v>168</v>
      </c>
      <c r="C32" s="173" t="s">
        <v>2</v>
      </c>
      <c r="D32" s="173" t="s">
        <v>71</v>
      </c>
      <c r="E32" s="173" t="s">
        <v>72</v>
      </c>
      <c r="F32" s="173" t="s">
        <v>60</v>
      </c>
    </row>
    <row r="33" spans="2:7" x14ac:dyDescent="0.15">
      <c r="B33" s="135" t="s">
        <v>63</v>
      </c>
      <c r="C33" s="433">
        <f>F7+F14</f>
        <v>178898.74697241787</v>
      </c>
      <c r="D33" s="434">
        <f>F19</f>
        <v>393712</v>
      </c>
      <c r="E33" s="435"/>
      <c r="F33" s="436">
        <f t="shared" ref="F33:F38" si="0">SUM(C33:E33)</f>
        <v>572610.74697241792</v>
      </c>
      <c r="G33" s="546"/>
    </row>
    <row r="34" spans="2:7" x14ac:dyDescent="0.15">
      <c r="B34" s="135" t="s">
        <v>123</v>
      </c>
      <c r="C34" s="433">
        <f>F8+F15</f>
        <v>26753.785380749341</v>
      </c>
      <c r="D34" s="434">
        <f>F22</f>
        <v>46647</v>
      </c>
      <c r="E34" s="435"/>
      <c r="F34" s="436">
        <f t="shared" si="0"/>
        <v>73400.785380749337</v>
      </c>
      <c r="G34" s="546"/>
    </row>
    <row r="35" spans="2:7" x14ac:dyDescent="0.15">
      <c r="B35" s="136" t="s">
        <v>69</v>
      </c>
      <c r="C35" s="433">
        <f>F9+F16</f>
        <v>3290.1640176516016</v>
      </c>
      <c r="D35" s="434">
        <f>F24</f>
        <v>77881</v>
      </c>
      <c r="E35" s="435"/>
      <c r="F35" s="436">
        <f t="shared" si="0"/>
        <v>81171.164017651608</v>
      </c>
      <c r="G35" s="546"/>
    </row>
    <row r="36" spans="2:7" x14ac:dyDescent="0.15">
      <c r="B36" s="179" t="s">
        <v>169</v>
      </c>
      <c r="C36" s="437">
        <f>SUM(C33:C35)</f>
        <v>208942.69637081883</v>
      </c>
      <c r="D36" s="437">
        <f>SUM(D33:D35)</f>
        <v>518240</v>
      </c>
      <c r="E36" s="437"/>
      <c r="F36" s="437">
        <f t="shared" si="0"/>
        <v>727182.69637081889</v>
      </c>
      <c r="G36" s="546">
        <f>C59+C70</f>
        <v>727182.69637081889</v>
      </c>
    </row>
    <row r="37" spans="2:7" x14ac:dyDescent="0.15">
      <c r="B37" s="169" t="s">
        <v>121</v>
      </c>
      <c r="C37" s="433">
        <f>0.07*C36</f>
        <v>14625.98874595732</v>
      </c>
      <c r="D37" s="434">
        <f>0.07*D36</f>
        <v>36276.800000000003</v>
      </c>
      <c r="E37" s="435"/>
      <c r="F37" s="436">
        <f t="shared" si="0"/>
        <v>50902.788745957325</v>
      </c>
      <c r="G37" s="546"/>
    </row>
    <row r="38" spans="2:7" x14ac:dyDescent="0.15">
      <c r="B38" s="185" t="s">
        <v>1</v>
      </c>
      <c r="C38" s="438">
        <f>SUM(C36:C37)</f>
        <v>223568.68511677615</v>
      </c>
      <c r="D38" s="439">
        <f>SUM(D36:D37)</f>
        <v>554516.80000000005</v>
      </c>
      <c r="E38" s="440"/>
      <c r="F38" s="441">
        <f t="shared" si="0"/>
        <v>778085.4851167762</v>
      </c>
      <c r="G38" s="546"/>
    </row>
    <row r="39" spans="2:7" x14ac:dyDescent="0.15">
      <c r="C39" s="442"/>
      <c r="D39" s="442"/>
      <c r="E39" s="442"/>
      <c r="F39" s="442"/>
      <c r="G39" s="546"/>
    </row>
    <row r="40" spans="2:7" ht="45.75" customHeight="1" thickBot="1" x14ac:dyDescent="0.2">
      <c r="B40" s="187" t="s">
        <v>170</v>
      </c>
      <c r="C40" s="500">
        <f>'Comparaison 2020 '!F20</f>
        <v>208943</v>
      </c>
      <c r="D40" s="500">
        <f>'Comparaison 2020 '!G20</f>
        <v>518240</v>
      </c>
      <c r="E40" s="500">
        <f>'Comparaison 2020 '!H20</f>
        <v>0</v>
      </c>
      <c r="F40" s="500">
        <f>'Comparaison 2020 '!I20</f>
        <v>0</v>
      </c>
      <c r="G40" s="546"/>
    </row>
    <row r="41" spans="2:7" ht="13" hidden="1" thickTop="1" x14ac:dyDescent="0.15">
      <c r="B41" s="200" t="s">
        <v>340</v>
      </c>
    </row>
    <row r="42" spans="2:7" hidden="1" x14ac:dyDescent="0.15">
      <c r="B42" s="173" t="s">
        <v>168</v>
      </c>
      <c r="C42" s="173" t="s">
        <v>2</v>
      </c>
      <c r="D42" s="173" t="s">
        <v>3</v>
      </c>
      <c r="E42" s="173" t="s">
        <v>1</v>
      </c>
    </row>
    <row r="43" spans="2:7" hidden="1" x14ac:dyDescent="0.15">
      <c r="B43" s="135" t="s">
        <v>63</v>
      </c>
      <c r="C43" s="436">
        <f>F14</f>
        <v>89449.373486208933</v>
      </c>
      <c r="D43" s="436">
        <f>D33</f>
        <v>393712</v>
      </c>
      <c r="E43" s="436">
        <f>C43+D43</f>
        <v>483161.37348620896</v>
      </c>
    </row>
    <row r="44" spans="2:7" hidden="1" x14ac:dyDescent="0.15">
      <c r="B44" s="135" t="s">
        <v>123</v>
      </c>
      <c r="C44" s="436">
        <f>F15</f>
        <v>13376.892690374671</v>
      </c>
      <c r="D44" s="436">
        <f>D34</f>
        <v>46647</v>
      </c>
      <c r="E44" s="436">
        <f>C44+D44</f>
        <v>60023.892690374669</v>
      </c>
    </row>
    <row r="45" spans="2:7" hidden="1" x14ac:dyDescent="0.15">
      <c r="B45" s="136" t="s">
        <v>69</v>
      </c>
      <c r="C45" s="436">
        <f>F16</f>
        <v>1645.0820088258008</v>
      </c>
      <c r="D45" s="436">
        <f>F24</f>
        <v>77881</v>
      </c>
      <c r="E45" s="436">
        <f>C45+D45</f>
        <v>79526.082008825804</v>
      </c>
    </row>
    <row r="46" spans="2:7" hidden="1" x14ac:dyDescent="0.15">
      <c r="B46" s="289" t="s">
        <v>169</v>
      </c>
      <c r="C46" s="436">
        <f>SUM(C43:C45)</f>
        <v>104471.34818540941</v>
      </c>
      <c r="D46" s="436">
        <f>SUM(D43:D45)</f>
        <v>518240</v>
      </c>
      <c r="E46" s="436">
        <f>C46+D46</f>
        <v>622711.34818540944</v>
      </c>
    </row>
    <row r="47" spans="2:7" hidden="1" x14ac:dyDescent="0.15">
      <c r="B47" s="169" t="s">
        <v>121</v>
      </c>
      <c r="C47" s="436">
        <f>0.07*C46</f>
        <v>7312.9943729786601</v>
      </c>
      <c r="D47" s="436">
        <f>0.07*D46</f>
        <v>36276.800000000003</v>
      </c>
      <c r="E47" s="436">
        <f>0.07*E46</f>
        <v>43589.794372978664</v>
      </c>
    </row>
    <row r="48" spans="2:7" hidden="1" x14ac:dyDescent="0.15">
      <c r="B48" s="173" t="s">
        <v>1</v>
      </c>
      <c r="C48" s="451">
        <f>SUM(C46:C47)</f>
        <v>111784.34255838807</v>
      </c>
      <c r="D48" s="451">
        <f>SUM(D46:D47)</f>
        <v>554516.80000000005</v>
      </c>
      <c r="E48" s="451">
        <f>SUM(E46:E47)</f>
        <v>666301.14255838806</v>
      </c>
    </row>
    <row r="49" spans="2:6" ht="13" thickTop="1" x14ac:dyDescent="0.15"/>
    <row r="50" spans="2:6" ht="12" customHeight="1" x14ac:dyDescent="0.15">
      <c r="B50" s="623" t="s">
        <v>187</v>
      </c>
      <c r="C50" s="623"/>
      <c r="D50" s="623"/>
      <c r="E50" s="623"/>
      <c r="F50" s="623"/>
    </row>
    <row r="51" spans="2:6" x14ac:dyDescent="0.15">
      <c r="B51" s="485" t="s">
        <v>62</v>
      </c>
      <c r="C51" s="191" t="s">
        <v>59</v>
      </c>
      <c r="D51" s="192" t="s">
        <v>2</v>
      </c>
      <c r="E51" s="207" t="s">
        <v>71</v>
      </c>
      <c r="F51" s="192" t="s">
        <v>72</v>
      </c>
    </row>
    <row r="52" spans="2:6" x14ac:dyDescent="0.15">
      <c r="B52" s="486" t="s">
        <v>63</v>
      </c>
      <c r="C52" s="444">
        <f>D52+E52+F52</f>
        <v>89449.373486208933</v>
      </c>
      <c r="D52" s="433">
        <f>F7</f>
        <v>89449.373486208933</v>
      </c>
      <c r="E52" s="434"/>
      <c r="F52" s="435"/>
    </row>
    <row r="53" spans="2:6" x14ac:dyDescent="0.15">
      <c r="B53" s="486" t="s">
        <v>64</v>
      </c>
      <c r="C53" s="444">
        <f t="shared" ref="C53:C58" si="1">D53+E53+F53</f>
        <v>0</v>
      </c>
      <c r="D53" s="433"/>
      <c r="E53" s="434"/>
      <c r="F53" s="435"/>
    </row>
    <row r="54" spans="2:6" x14ac:dyDescent="0.15">
      <c r="B54" s="487" t="s">
        <v>65</v>
      </c>
      <c r="C54" s="444">
        <f t="shared" si="1"/>
        <v>0</v>
      </c>
      <c r="D54" s="433"/>
      <c r="E54" s="434"/>
      <c r="F54" s="435"/>
    </row>
    <row r="55" spans="2:6" x14ac:dyDescent="0.15">
      <c r="B55" s="486" t="s">
        <v>66</v>
      </c>
      <c r="C55" s="444">
        <f t="shared" si="1"/>
        <v>0</v>
      </c>
      <c r="D55" s="433"/>
      <c r="E55" s="434"/>
      <c r="F55" s="435"/>
    </row>
    <row r="56" spans="2:6" x14ac:dyDescent="0.15">
      <c r="B56" s="486" t="s">
        <v>123</v>
      </c>
      <c r="C56" s="444">
        <f t="shared" si="1"/>
        <v>13376.892690374671</v>
      </c>
      <c r="D56" s="433">
        <f>F8</f>
        <v>13376.892690374671</v>
      </c>
      <c r="E56" s="434"/>
      <c r="F56" s="435"/>
    </row>
    <row r="57" spans="2:6" x14ac:dyDescent="0.15">
      <c r="B57" s="487" t="s">
        <v>68</v>
      </c>
      <c r="C57" s="444">
        <f t="shared" si="1"/>
        <v>0</v>
      </c>
      <c r="D57" s="433"/>
      <c r="E57" s="434"/>
      <c r="F57" s="435"/>
    </row>
    <row r="58" spans="2:6" x14ac:dyDescent="0.15">
      <c r="B58" s="487" t="s">
        <v>69</v>
      </c>
      <c r="C58" s="444">
        <f t="shared" si="1"/>
        <v>1645.0820088258008</v>
      </c>
      <c r="D58" s="433">
        <f>F9</f>
        <v>1645.0820088258008</v>
      </c>
      <c r="E58" s="434"/>
      <c r="F58" s="435"/>
    </row>
    <row r="59" spans="2:6" x14ac:dyDescent="0.15">
      <c r="B59" s="488" t="s">
        <v>74</v>
      </c>
      <c r="C59" s="445">
        <f>SUM(C52:C58)</f>
        <v>104471.34818540941</v>
      </c>
      <c r="D59" s="445">
        <f>SUM(D52:D58)</f>
        <v>104471.34818540941</v>
      </c>
      <c r="E59" s="445">
        <f>SUM(E52:E58)</f>
        <v>0</v>
      </c>
      <c r="F59" s="445">
        <f>SUM(F52:F58)</f>
        <v>0</v>
      </c>
    </row>
    <row r="61" spans="2:6" ht="34.5" customHeight="1" x14ac:dyDescent="0.15">
      <c r="B61" s="620" t="s">
        <v>242</v>
      </c>
      <c r="C61" s="621"/>
      <c r="D61" s="621"/>
      <c r="E61" s="621"/>
      <c r="F61" s="622"/>
    </row>
    <row r="62" spans="2:6" x14ac:dyDescent="0.15">
      <c r="B62" s="485" t="s">
        <v>62</v>
      </c>
      <c r="C62" s="191" t="s">
        <v>59</v>
      </c>
      <c r="D62" s="192" t="s">
        <v>2</v>
      </c>
      <c r="E62" s="207" t="s">
        <v>71</v>
      </c>
      <c r="F62" s="192" t="s">
        <v>72</v>
      </c>
    </row>
    <row r="63" spans="2:6" x14ac:dyDescent="0.15">
      <c r="B63" s="486" t="s">
        <v>63</v>
      </c>
      <c r="C63" s="444">
        <f>D63+E63+F63</f>
        <v>483161.37348620896</v>
      </c>
      <c r="D63" s="433">
        <f>F14</f>
        <v>89449.373486208933</v>
      </c>
      <c r="E63" s="434">
        <f>D33</f>
        <v>393712</v>
      </c>
      <c r="F63" s="435"/>
    </row>
    <row r="64" spans="2:6" x14ac:dyDescent="0.15">
      <c r="B64" s="486" t="s">
        <v>64</v>
      </c>
      <c r="C64" s="444">
        <f t="shared" ref="C64:C69" si="2">D64+E64+F64</f>
        <v>0</v>
      </c>
      <c r="D64" s="433"/>
      <c r="E64" s="434"/>
      <c r="F64" s="435"/>
    </row>
    <row r="65" spans="2:6" x14ac:dyDescent="0.15">
      <c r="B65" s="487" t="s">
        <v>65</v>
      </c>
      <c r="C65" s="444">
        <f t="shared" si="2"/>
        <v>0</v>
      </c>
      <c r="D65" s="433"/>
      <c r="E65" s="434"/>
      <c r="F65" s="435"/>
    </row>
    <row r="66" spans="2:6" x14ac:dyDescent="0.15">
      <c r="B66" s="486" t="s">
        <v>66</v>
      </c>
      <c r="C66" s="444">
        <f t="shared" si="2"/>
        <v>0</v>
      </c>
      <c r="D66" s="433"/>
      <c r="E66" s="434"/>
      <c r="F66" s="435"/>
    </row>
    <row r="67" spans="2:6" x14ac:dyDescent="0.15">
      <c r="B67" s="486" t="s">
        <v>123</v>
      </c>
      <c r="C67" s="444">
        <f t="shared" si="2"/>
        <v>60023.892690374669</v>
      </c>
      <c r="D67" s="433">
        <f>F15</f>
        <v>13376.892690374671</v>
      </c>
      <c r="E67" s="434">
        <f>D34</f>
        <v>46647</v>
      </c>
      <c r="F67" s="435"/>
    </row>
    <row r="68" spans="2:6" x14ac:dyDescent="0.15">
      <c r="B68" s="487" t="s">
        <v>68</v>
      </c>
      <c r="C68" s="444">
        <f t="shared" si="2"/>
        <v>0</v>
      </c>
      <c r="D68" s="433"/>
      <c r="E68" s="434"/>
      <c r="F68" s="435"/>
    </row>
    <row r="69" spans="2:6" x14ac:dyDescent="0.15">
      <c r="B69" s="487" t="s">
        <v>69</v>
      </c>
      <c r="C69" s="444">
        <f t="shared" si="2"/>
        <v>79526.082008825804</v>
      </c>
      <c r="D69" s="433">
        <f>F16</f>
        <v>1645.0820088258008</v>
      </c>
      <c r="E69" s="434">
        <f>D35</f>
        <v>77881</v>
      </c>
      <c r="F69" s="435"/>
    </row>
    <row r="70" spans="2:6" x14ac:dyDescent="0.15">
      <c r="B70" s="488" t="s">
        <v>74</v>
      </c>
      <c r="C70" s="445">
        <f>SUM(C63:C69)</f>
        <v>622711.34818540944</v>
      </c>
      <c r="D70" s="445">
        <f>SUM(D63:D69)</f>
        <v>104471.34818540941</v>
      </c>
      <c r="E70" s="445">
        <f>SUM(E63:E69)</f>
        <v>518240</v>
      </c>
      <c r="F70" s="445">
        <f>SUM(F63:F69)</f>
        <v>0</v>
      </c>
    </row>
  </sheetData>
  <mergeCells count="28">
    <mergeCell ref="B61:F61"/>
    <mergeCell ref="B50:F50"/>
    <mergeCell ref="D19:D25"/>
    <mergeCell ref="B19:B25"/>
    <mergeCell ref="E24:E25"/>
    <mergeCell ref="F24:F25"/>
    <mergeCell ref="E19:E21"/>
    <mergeCell ref="F19:F21"/>
    <mergeCell ref="E22:E23"/>
    <mergeCell ref="F22:F23"/>
    <mergeCell ref="B7:B9"/>
    <mergeCell ref="D7:D9"/>
    <mergeCell ref="B11:F11"/>
    <mergeCell ref="E16:E17"/>
    <mergeCell ref="F16:F17"/>
    <mergeCell ref="D14:D17"/>
    <mergeCell ref="B12:B13"/>
    <mergeCell ref="B14:B17"/>
    <mergeCell ref="C12:C13"/>
    <mergeCell ref="D12:D13"/>
    <mergeCell ref="E12:F12"/>
    <mergeCell ref="C7:C8"/>
    <mergeCell ref="C16:C17"/>
    <mergeCell ref="B4:F4"/>
    <mergeCell ref="B5:B6"/>
    <mergeCell ref="C5:C6"/>
    <mergeCell ref="D5:D6"/>
    <mergeCell ref="E5:F5"/>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G51"/>
  <sheetViews>
    <sheetView showGridLines="0" zoomScale="125" zoomScaleNormal="125" zoomScalePageLayoutView="125" workbookViewId="0">
      <selection activeCell="B42" sqref="B42:F42"/>
    </sheetView>
  </sheetViews>
  <sheetFormatPr baseColWidth="10" defaultColWidth="9.1640625" defaultRowHeight="12" x14ac:dyDescent="0.15"/>
  <cols>
    <col min="1" max="1" width="1.6640625" style="159" customWidth="1"/>
    <col min="2" max="2" width="45.33203125" style="182" customWidth="1"/>
    <col min="3" max="3" width="56.5" style="182" customWidth="1"/>
    <col min="4" max="4" width="10.5" style="182" customWidth="1"/>
    <col min="5" max="5" width="26.83203125" style="182" customWidth="1"/>
    <col min="6" max="6" width="14.1640625" style="182" customWidth="1"/>
    <col min="7" max="7" width="18.33203125" style="182" customWidth="1"/>
    <col min="8" max="16384" width="9.1640625" style="159"/>
  </cols>
  <sheetData>
    <row r="3" spans="2:7" x14ac:dyDescent="0.15">
      <c r="B3" s="132" t="s">
        <v>307</v>
      </c>
      <c r="C3" s="132"/>
      <c r="D3" s="132"/>
      <c r="E3" s="132"/>
      <c r="F3" s="133"/>
    </row>
    <row r="4" spans="2:7" ht="28.5" customHeight="1" x14ac:dyDescent="0.15">
      <c r="B4" s="623" t="s">
        <v>187</v>
      </c>
      <c r="C4" s="623"/>
      <c r="D4" s="623"/>
      <c r="E4" s="623"/>
      <c r="F4" s="623"/>
    </row>
    <row r="5" spans="2:7" ht="17.25" customHeight="1" x14ac:dyDescent="0.15">
      <c r="B5" s="640" t="s">
        <v>106</v>
      </c>
      <c r="C5" s="640" t="s">
        <v>107</v>
      </c>
      <c r="D5" s="640" t="s">
        <v>108</v>
      </c>
      <c r="E5" s="642" t="s">
        <v>109</v>
      </c>
      <c r="F5" s="642"/>
    </row>
    <row r="6" spans="2:7" x14ac:dyDescent="0.15">
      <c r="B6" s="641"/>
      <c r="C6" s="641"/>
      <c r="D6" s="641"/>
      <c r="E6" s="467" t="s">
        <v>62</v>
      </c>
      <c r="F6" s="467" t="s">
        <v>110</v>
      </c>
    </row>
    <row r="7" spans="2:7" x14ac:dyDescent="0.15">
      <c r="B7" s="606" t="s">
        <v>302</v>
      </c>
      <c r="C7" s="118" t="s">
        <v>304</v>
      </c>
      <c r="D7" s="644" t="s">
        <v>2</v>
      </c>
      <c r="E7" s="137" t="s">
        <v>63</v>
      </c>
      <c r="F7" s="417">
        <v>325274.42865708598</v>
      </c>
    </row>
    <row r="8" spans="2:7" x14ac:dyDescent="0.15">
      <c r="B8" s="607"/>
      <c r="C8" s="472" t="s">
        <v>305</v>
      </c>
      <c r="D8" s="644"/>
      <c r="E8" s="137" t="s">
        <v>123</v>
      </c>
      <c r="F8" s="417">
        <v>8380.8199986697764</v>
      </c>
    </row>
    <row r="9" spans="2:7" ht="41" customHeight="1" x14ac:dyDescent="0.15">
      <c r="B9" s="608"/>
      <c r="C9" s="472" t="s">
        <v>306</v>
      </c>
      <c r="D9" s="645"/>
      <c r="E9" s="158" t="s">
        <v>69</v>
      </c>
      <c r="F9" s="417">
        <v>2512.6498567677518</v>
      </c>
    </row>
    <row r="10" spans="2:7" x14ac:dyDescent="0.15">
      <c r="B10" s="139" t="s">
        <v>74</v>
      </c>
      <c r="C10" s="142"/>
      <c r="D10" s="238"/>
      <c r="E10" s="139"/>
      <c r="F10" s="526">
        <f>SUM(F7:F9)</f>
        <v>336167.8985125235</v>
      </c>
    </row>
    <row r="11" spans="2:7" ht="40.5" customHeight="1" x14ac:dyDescent="0.15">
      <c r="B11" s="591" t="s">
        <v>303</v>
      </c>
      <c r="C11" s="316" t="s">
        <v>342</v>
      </c>
      <c r="D11" s="644" t="s">
        <v>2</v>
      </c>
      <c r="E11" s="137" t="s">
        <v>63</v>
      </c>
      <c r="F11" s="417">
        <v>36141.6031841207</v>
      </c>
    </row>
    <row r="12" spans="2:7" ht="124.5" customHeight="1" x14ac:dyDescent="0.15">
      <c r="B12" s="592"/>
      <c r="C12" s="606" t="s">
        <v>341</v>
      </c>
      <c r="D12" s="644"/>
      <c r="E12" s="137" t="s">
        <v>123</v>
      </c>
      <c r="F12" s="417">
        <v>8380.8199986697764</v>
      </c>
    </row>
    <row r="13" spans="2:7" ht="29" customHeight="1" x14ac:dyDescent="0.15">
      <c r="B13" s="652"/>
      <c r="C13" s="608"/>
      <c r="D13" s="645"/>
      <c r="E13" s="158" t="s">
        <v>69</v>
      </c>
      <c r="F13" s="417">
        <v>2512.6498567677518</v>
      </c>
    </row>
    <row r="14" spans="2:7" x14ac:dyDescent="0.15">
      <c r="B14" s="492" t="s">
        <v>74</v>
      </c>
      <c r="C14" s="142"/>
      <c r="D14" s="238"/>
      <c r="E14" s="139"/>
      <c r="F14" s="526">
        <f>SUM(F11:F13)</f>
        <v>47035.073039558221</v>
      </c>
    </row>
    <row r="15" spans="2:7" x14ac:dyDescent="0.15">
      <c r="B15" s="491" t="s">
        <v>182</v>
      </c>
      <c r="C15" s="142"/>
      <c r="D15" s="238"/>
      <c r="E15" s="139"/>
      <c r="F15" s="526">
        <f>F14+F10</f>
        <v>383202.97155208176</v>
      </c>
    </row>
    <row r="16" spans="2:7" x14ac:dyDescent="0.15">
      <c r="B16" s="172" t="s">
        <v>77</v>
      </c>
      <c r="C16" s="166"/>
      <c r="D16" s="166"/>
      <c r="E16" s="166"/>
      <c r="F16" s="450">
        <f>F15+F5</f>
        <v>383202.97155208176</v>
      </c>
      <c r="G16" s="221"/>
    </row>
    <row r="17" spans="2:7" x14ac:dyDescent="0.15">
      <c r="B17" s="169" t="s">
        <v>167</v>
      </c>
      <c r="C17" s="169"/>
      <c r="D17" s="169"/>
      <c r="E17" s="169"/>
      <c r="F17" s="436">
        <f>0.07*F16</f>
        <v>26824.208008645724</v>
      </c>
      <c r="G17" s="221"/>
    </row>
    <row r="18" spans="2:7" x14ac:dyDescent="0.15">
      <c r="B18" s="172" t="s">
        <v>149</v>
      </c>
      <c r="C18" s="166"/>
      <c r="D18" s="166"/>
      <c r="E18" s="166"/>
      <c r="F18" s="450">
        <f>SUM(F16:F17)</f>
        <v>410027.1795607275</v>
      </c>
      <c r="G18" s="221"/>
    </row>
    <row r="21" spans="2:7" x14ac:dyDescent="0.15">
      <c r="B21" s="173" t="s">
        <v>168</v>
      </c>
      <c r="C21" s="173" t="s">
        <v>2</v>
      </c>
      <c r="D21" s="173" t="s">
        <v>71</v>
      </c>
      <c r="E21" s="173" t="s">
        <v>72</v>
      </c>
      <c r="F21" s="173" t="s">
        <v>60</v>
      </c>
    </row>
    <row r="22" spans="2:7" x14ac:dyDescent="0.15">
      <c r="B22" s="135" t="s">
        <v>63</v>
      </c>
      <c r="C22" s="433">
        <f>F7+F11</f>
        <v>361416.03184120671</v>
      </c>
      <c r="D22" s="434"/>
      <c r="E22" s="435"/>
      <c r="F22" s="436"/>
    </row>
    <row r="23" spans="2:7" x14ac:dyDescent="0.15">
      <c r="B23" s="135" t="s">
        <v>123</v>
      </c>
      <c r="C23" s="433">
        <f>F8+F12</f>
        <v>16761.639997339553</v>
      </c>
      <c r="D23" s="434"/>
      <c r="E23" s="435"/>
      <c r="F23" s="436"/>
    </row>
    <row r="24" spans="2:7" x14ac:dyDescent="0.15">
      <c r="B24" s="136" t="s">
        <v>69</v>
      </c>
      <c r="C24" s="433">
        <f>F9+F13</f>
        <v>5025.2997135355035</v>
      </c>
      <c r="D24" s="434"/>
      <c r="E24" s="435"/>
      <c r="F24" s="436"/>
    </row>
    <row r="25" spans="2:7" x14ac:dyDescent="0.15">
      <c r="B25" s="179" t="s">
        <v>169</v>
      </c>
      <c r="C25" s="437">
        <f>SUM(C22:C24)</f>
        <v>383202.97155208181</v>
      </c>
      <c r="D25" s="437"/>
      <c r="E25" s="437"/>
      <c r="F25" s="437"/>
      <c r="G25" s="222">
        <f>C40+C51</f>
        <v>383202.97155208181</v>
      </c>
    </row>
    <row r="26" spans="2:7" x14ac:dyDescent="0.15">
      <c r="B26" s="169" t="s">
        <v>121</v>
      </c>
      <c r="C26" s="433">
        <f>0.07*C25</f>
        <v>26824.208008645728</v>
      </c>
      <c r="D26" s="536"/>
      <c r="E26" s="435"/>
      <c r="F26" s="537"/>
    </row>
    <row r="27" spans="2:7" x14ac:dyDescent="0.15">
      <c r="B27" s="185" t="s">
        <v>1</v>
      </c>
      <c r="C27" s="438">
        <f>SUM(C25:C26)</f>
        <v>410027.17956072756</v>
      </c>
      <c r="D27" s="439"/>
      <c r="E27" s="440"/>
      <c r="F27" s="441"/>
    </row>
    <row r="29" spans="2:7" ht="13" thickBot="1" x14ac:dyDescent="0.2">
      <c r="B29" s="187" t="s">
        <v>170</v>
      </c>
      <c r="C29" s="500">
        <f>'Comparaison 2020 '!F21</f>
        <v>383203</v>
      </c>
      <c r="D29" s="500">
        <f>'Comparaison 2020 '!G21</f>
        <v>0</v>
      </c>
      <c r="E29" s="500">
        <f>'Comparaison 2020 '!H21</f>
        <v>0</v>
      </c>
      <c r="F29" s="500">
        <f>'Comparaison 2020 '!I21</f>
        <v>383203</v>
      </c>
    </row>
    <row r="30" spans="2:7" ht="13" thickTop="1" x14ac:dyDescent="0.15"/>
    <row r="31" spans="2:7" ht="12" customHeight="1" x14ac:dyDescent="0.15">
      <c r="B31" s="623" t="s">
        <v>187</v>
      </c>
      <c r="C31" s="623"/>
      <c r="D31" s="623"/>
      <c r="E31" s="623"/>
      <c r="F31" s="623"/>
    </row>
    <row r="32" spans="2:7" x14ac:dyDescent="0.15">
      <c r="B32" s="485" t="s">
        <v>62</v>
      </c>
      <c r="C32" s="191" t="s">
        <v>59</v>
      </c>
      <c r="D32" s="192" t="s">
        <v>2</v>
      </c>
      <c r="E32" s="207" t="s">
        <v>71</v>
      </c>
      <c r="F32" s="192" t="s">
        <v>72</v>
      </c>
    </row>
    <row r="33" spans="2:6" x14ac:dyDescent="0.15">
      <c r="B33" s="486" t="s">
        <v>63</v>
      </c>
      <c r="C33" s="444">
        <f>D33+E33+F33</f>
        <v>361416.03184120671</v>
      </c>
      <c r="D33" s="433">
        <f>C22</f>
        <v>361416.03184120671</v>
      </c>
      <c r="E33" s="536"/>
      <c r="F33" s="435"/>
    </row>
    <row r="34" spans="2:6" x14ac:dyDescent="0.15">
      <c r="B34" s="486" t="s">
        <v>64</v>
      </c>
      <c r="C34" s="444">
        <f t="shared" ref="C34:C39" si="0">D34+E34+F34</f>
        <v>0</v>
      </c>
      <c r="D34" s="433"/>
      <c r="E34" s="536"/>
      <c r="F34" s="435"/>
    </row>
    <row r="35" spans="2:6" x14ac:dyDescent="0.15">
      <c r="B35" s="487" t="s">
        <v>65</v>
      </c>
      <c r="C35" s="444">
        <f t="shared" si="0"/>
        <v>0</v>
      </c>
      <c r="D35" s="433"/>
      <c r="E35" s="536"/>
      <c r="F35" s="435"/>
    </row>
    <row r="36" spans="2:6" x14ac:dyDescent="0.15">
      <c r="B36" s="486" t="s">
        <v>66</v>
      </c>
      <c r="C36" s="444">
        <f t="shared" si="0"/>
        <v>0</v>
      </c>
      <c r="D36" s="433"/>
      <c r="E36" s="536"/>
      <c r="F36" s="435"/>
    </row>
    <row r="37" spans="2:6" x14ac:dyDescent="0.15">
      <c r="B37" s="486" t="s">
        <v>123</v>
      </c>
      <c r="C37" s="444">
        <f t="shared" si="0"/>
        <v>16761.639997339553</v>
      </c>
      <c r="D37" s="433">
        <f>C23</f>
        <v>16761.639997339553</v>
      </c>
      <c r="E37" s="536"/>
      <c r="F37" s="435"/>
    </row>
    <row r="38" spans="2:6" x14ac:dyDescent="0.15">
      <c r="B38" s="487" t="s">
        <v>68</v>
      </c>
      <c r="C38" s="444">
        <f t="shared" si="0"/>
        <v>0</v>
      </c>
      <c r="D38" s="433"/>
      <c r="E38" s="536"/>
      <c r="F38" s="435"/>
    </row>
    <row r="39" spans="2:6" x14ac:dyDescent="0.15">
      <c r="B39" s="487" t="s">
        <v>69</v>
      </c>
      <c r="C39" s="444">
        <f t="shared" si="0"/>
        <v>5025.2997135355035</v>
      </c>
      <c r="D39" s="433">
        <f>C24</f>
        <v>5025.2997135355035</v>
      </c>
      <c r="E39" s="536"/>
      <c r="F39" s="435"/>
    </row>
    <row r="40" spans="2:6" x14ac:dyDescent="0.15">
      <c r="B40" s="488" t="s">
        <v>74</v>
      </c>
      <c r="C40" s="445">
        <f>SUM(C33:C39)</f>
        <v>383202.97155208181</v>
      </c>
      <c r="D40" s="445">
        <f>SUM(D33:D39)</f>
        <v>383202.97155208181</v>
      </c>
      <c r="E40" s="445">
        <f>SUM(E33:E39)</f>
        <v>0</v>
      </c>
      <c r="F40" s="445">
        <f>SUM(F33:F39)</f>
        <v>0</v>
      </c>
    </row>
    <row r="42" spans="2:6" ht="37.5" customHeight="1" x14ac:dyDescent="0.15">
      <c r="B42" s="620" t="s">
        <v>242</v>
      </c>
      <c r="C42" s="621"/>
      <c r="D42" s="621"/>
      <c r="E42" s="621"/>
      <c r="F42" s="622"/>
    </row>
    <row r="43" spans="2:6" x14ac:dyDescent="0.15">
      <c r="B43" s="485" t="s">
        <v>62</v>
      </c>
      <c r="C43" s="191" t="s">
        <v>59</v>
      </c>
      <c r="D43" s="192" t="s">
        <v>2</v>
      </c>
      <c r="E43" s="207" t="s">
        <v>71</v>
      </c>
      <c r="F43" s="192" t="s">
        <v>72</v>
      </c>
    </row>
    <row r="44" spans="2:6" x14ac:dyDescent="0.15">
      <c r="B44" s="486" t="s">
        <v>63</v>
      </c>
      <c r="C44" s="194">
        <f>D44+E44+F44</f>
        <v>0</v>
      </c>
      <c r="D44" s="175"/>
      <c r="E44" s="229"/>
      <c r="F44" s="197"/>
    </row>
    <row r="45" spans="2:6" x14ac:dyDescent="0.15">
      <c r="B45" s="486" t="s">
        <v>64</v>
      </c>
      <c r="C45" s="194">
        <f t="shared" ref="C45:C50" si="1">D45+E45+F45</f>
        <v>0</v>
      </c>
      <c r="D45" s="175"/>
      <c r="E45" s="229"/>
      <c r="F45" s="197"/>
    </row>
    <row r="46" spans="2:6" x14ac:dyDescent="0.15">
      <c r="B46" s="487" t="s">
        <v>65</v>
      </c>
      <c r="C46" s="194">
        <f t="shared" si="1"/>
        <v>0</v>
      </c>
      <c r="D46" s="175"/>
      <c r="E46" s="229"/>
      <c r="F46" s="197"/>
    </row>
    <row r="47" spans="2:6" x14ac:dyDescent="0.15">
      <c r="B47" s="486" t="s">
        <v>66</v>
      </c>
      <c r="C47" s="194">
        <f t="shared" si="1"/>
        <v>0</v>
      </c>
      <c r="D47" s="175"/>
      <c r="E47" s="229"/>
      <c r="F47" s="197"/>
    </row>
    <row r="48" spans="2:6" x14ac:dyDescent="0.15">
      <c r="B48" s="486" t="s">
        <v>123</v>
      </c>
      <c r="C48" s="194">
        <f t="shared" si="1"/>
        <v>0</v>
      </c>
      <c r="D48" s="175"/>
      <c r="E48" s="229"/>
      <c r="F48" s="197"/>
    </row>
    <row r="49" spans="2:6" x14ac:dyDescent="0.15">
      <c r="B49" s="487" t="s">
        <v>68</v>
      </c>
      <c r="C49" s="194">
        <f t="shared" si="1"/>
        <v>0</v>
      </c>
      <c r="D49" s="175"/>
      <c r="E49" s="229"/>
      <c r="F49" s="197"/>
    </row>
    <row r="50" spans="2:6" x14ac:dyDescent="0.15">
      <c r="B50" s="487" t="s">
        <v>69</v>
      </c>
      <c r="C50" s="194">
        <f t="shared" si="1"/>
        <v>0</v>
      </c>
      <c r="D50" s="175"/>
      <c r="E50" s="229"/>
      <c r="F50" s="197"/>
    </row>
    <row r="51" spans="2:6" x14ac:dyDescent="0.15">
      <c r="B51" s="488" t="s">
        <v>74</v>
      </c>
      <c r="C51" s="198">
        <f>SUM(C44:C50)</f>
        <v>0</v>
      </c>
      <c r="D51" s="198">
        <f>SUM(D44:D50)</f>
        <v>0</v>
      </c>
      <c r="E51" s="198">
        <f>SUM(E44:E50)</f>
        <v>0</v>
      </c>
      <c r="F51" s="198">
        <f>SUM(F44:F50)</f>
        <v>0</v>
      </c>
    </row>
  </sheetData>
  <mergeCells count="12">
    <mergeCell ref="D7:D9"/>
    <mergeCell ref="B42:F42"/>
    <mergeCell ref="B31:F31"/>
    <mergeCell ref="B11:B13"/>
    <mergeCell ref="D11:D13"/>
    <mergeCell ref="B7:B9"/>
    <mergeCell ref="C12:C13"/>
    <mergeCell ref="B4:F4"/>
    <mergeCell ref="B5:B6"/>
    <mergeCell ref="C5:C6"/>
    <mergeCell ref="D5:D6"/>
    <mergeCell ref="E5:F5"/>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640625" defaultRowHeight="15" x14ac:dyDescent="0.2"/>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640625" defaultRowHeight="1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F69"/>
  <sheetViews>
    <sheetView showGridLines="0" zoomScale="125" zoomScaleNormal="125" zoomScalePageLayoutView="125" workbookViewId="0">
      <selection sqref="A1:XFD1048576"/>
    </sheetView>
  </sheetViews>
  <sheetFormatPr baseColWidth="10" defaultColWidth="9.1640625" defaultRowHeight="12" x14ac:dyDescent="0.15"/>
  <cols>
    <col min="1" max="1" width="1" style="159" customWidth="1"/>
    <col min="2" max="2" width="37.33203125" style="182" customWidth="1"/>
    <col min="3" max="3" width="52.1640625" style="182" customWidth="1"/>
    <col min="4" max="4" width="14" style="182" customWidth="1"/>
    <col min="5" max="5" width="28.6640625" style="182" customWidth="1"/>
    <col min="6" max="6" width="19.6640625" style="182" customWidth="1"/>
    <col min="7" max="16384" width="9.1640625" style="159"/>
  </cols>
  <sheetData>
    <row r="3" spans="2:6" x14ac:dyDescent="0.15">
      <c r="B3" s="746" t="s">
        <v>308</v>
      </c>
      <c r="C3" s="746"/>
      <c r="D3" s="746"/>
      <c r="E3" s="746"/>
      <c r="F3" s="746"/>
    </row>
    <row r="4" spans="2:6" ht="22.5" customHeight="1" x14ac:dyDescent="0.15">
      <c r="B4" s="623" t="s">
        <v>187</v>
      </c>
      <c r="C4" s="623"/>
      <c r="D4" s="623"/>
      <c r="E4" s="623"/>
      <c r="F4" s="623"/>
    </row>
    <row r="5" spans="2:6" ht="12" customHeight="1" x14ac:dyDescent="0.15">
      <c r="B5" s="640" t="s">
        <v>106</v>
      </c>
      <c r="C5" s="640" t="s">
        <v>107</v>
      </c>
      <c r="D5" s="640" t="s">
        <v>108</v>
      </c>
      <c r="E5" s="642" t="s">
        <v>109</v>
      </c>
      <c r="F5" s="642"/>
    </row>
    <row r="6" spans="2:6" x14ac:dyDescent="0.15">
      <c r="B6" s="641"/>
      <c r="C6" s="641"/>
      <c r="D6" s="641"/>
      <c r="E6" s="467" t="s">
        <v>62</v>
      </c>
      <c r="F6" s="467" t="s">
        <v>110</v>
      </c>
    </row>
    <row r="7" spans="2:6" ht="31" customHeight="1" x14ac:dyDescent="0.15">
      <c r="B7" s="660" t="s">
        <v>309</v>
      </c>
      <c r="C7" s="612" t="s">
        <v>310</v>
      </c>
      <c r="D7" s="644" t="s">
        <v>2</v>
      </c>
      <c r="E7" s="472" t="s">
        <v>63</v>
      </c>
      <c r="F7" s="417">
        <v>60000</v>
      </c>
    </row>
    <row r="8" spans="2:6" ht="14.25" customHeight="1" x14ac:dyDescent="0.15">
      <c r="B8" s="660"/>
      <c r="C8" s="749"/>
      <c r="D8" s="644"/>
      <c r="E8" s="137" t="s">
        <v>123</v>
      </c>
      <c r="F8" s="417">
        <v>15000</v>
      </c>
    </row>
    <row r="9" spans="2:6" ht="24" customHeight="1" x14ac:dyDescent="0.15">
      <c r="B9" s="660"/>
      <c r="C9" s="613"/>
      <c r="D9" s="645"/>
      <c r="E9" s="302" t="s">
        <v>69</v>
      </c>
      <c r="F9" s="417"/>
    </row>
    <row r="10" spans="2:6" x14ac:dyDescent="0.15">
      <c r="B10" s="491" t="s">
        <v>182</v>
      </c>
      <c r="C10" s="490"/>
      <c r="D10" s="238"/>
      <c r="E10" s="139"/>
      <c r="F10" s="526">
        <f>SUM(F7:F9)</f>
        <v>75000</v>
      </c>
    </row>
    <row r="11" spans="2:6" ht="28.5" customHeight="1" x14ac:dyDescent="0.15">
      <c r="B11" s="620" t="s">
        <v>242</v>
      </c>
      <c r="C11" s="621"/>
      <c r="D11" s="621"/>
      <c r="E11" s="747"/>
      <c r="F11" s="748"/>
    </row>
    <row r="12" spans="2:6" ht="17.25" customHeight="1" x14ac:dyDescent="0.15">
      <c r="B12" s="640" t="s">
        <v>106</v>
      </c>
      <c r="C12" s="640" t="s">
        <v>107</v>
      </c>
      <c r="D12" s="640" t="s">
        <v>108</v>
      </c>
      <c r="E12" s="642" t="s">
        <v>109</v>
      </c>
      <c r="F12" s="642"/>
    </row>
    <row r="13" spans="2:6" ht="19.5" customHeight="1" x14ac:dyDescent="0.15">
      <c r="B13" s="641"/>
      <c r="C13" s="641"/>
      <c r="D13" s="641"/>
      <c r="E13" s="467" t="s">
        <v>62</v>
      </c>
      <c r="F13" s="467" t="s">
        <v>110</v>
      </c>
    </row>
    <row r="14" spans="2:6" ht="53" customHeight="1" x14ac:dyDescent="0.15">
      <c r="B14" s="598" t="s">
        <v>316</v>
      </c>
      <c r="C14" s="127" t="s">
        <v>314</v>
      </c>
      <c r="D14" s="617" t="s">
        <v>71</v>
      </c>
      <c r="E14" s="475" t="s">
        <v>63</v>
      </c>
      <c r="F14" s="494">
        <v>331358</v>
      </c>
    </row>
    <row r="15" spans="2:6" ht="19.5" customHeight="1" x14ac:dyDescent="0.15">
      <c r="B15" s="604"/>
      <c r="C15" s="598" t="s">
        <v>311</v>
      </c>
      <c r="D15" s="618"/>
      <c r="E15" s="128" t="s">
        <v>123</v>
      </c>
      <c r="F15" s="494">
        <v>31292</v>
      </c>
    </row>
    <row r="16" spans="2:6" ht="21" customHeight="1" x14ac:dyDescent="0.15">
      <c r="B16" s="604"/>
      <c r="C16" s="599"/>
      <c r="D16" s="618"/>
      <c r="E16" s="598" t="s">
        <v>69</v>
      </c>
      <c r="F16" s="751">
        <v>54746.5</v>
      </c>
    </row>
    <row r="17" spans="2:6" ht="36" x14ac:dyDescent="0.15">
      <c r="B17" s="604"/>
      <c r="C17" s="301" t="s">
        <v>312</v>
      </c>
      <c r="D17" s="618"/>
      <c r="E17" s="604"/>
      <c r="F17" s="752"/>
    </row>
    <row r="18" spans="2:6" x14ac:dyDescent="0.15">
      <c r="B18" s="139" t="s">
        <v>74</v>
      </c>
      <c r="C18" s="142"/>
      <c r="D18" s="238"/>
      <c r="E18" s="139"/>
      <c r="F18" s="526">
        <f>SUM(F14:F16)</f>
        <v>417396.5</v>
      </c>
    </row>
    <row r="19" spans="2:6" ht="50" customHeight="1" x14ac:dyDescent="0.15">
      <c r="B19" s="598" t="s">
        <v>315</v>
      </c>
      <c r="C19" s="304" t="s">
        <v>313</v>
      </c>
      <c r="D19" s="617" t="s">
        <v>71</v>
      </c>
      <c r="E19" s="475" t="s">
        <v>63</v>
      </c>
      <c r="F19" s="494">
        <v>142010</v>
      </c>
    </row>
    <row r="20" spans="2:6" ht="16" customHeight="1" x14ac:dyDescent="0.15">
      <c r="B20" s="604"/>
      <c r="C20" s="750" t="s">
        <v>312</v>
      </c>
      <c r="D20" s="618"/>
      <c r="E20" s="128" t="s">
        <v>123</v>
      </c>
      <c r="F20" s="494">
        <v>13411</v>
      </c>
    </row>
    <row r="21" spans="2:6" ht="23" customHeight="1" x14ac:dyDescent="0.15">
      <c r="B21" s="604"/>
      <c r="C21" s="750"/>
      <c r="D21" s="619"/>
      <c r="E21" s="303" t="s">
        <v>69</v>
      </c>
      <c r="F21" s="494">
        <v>23463</v>
      </c>
    </row>
    <row r="22" spans="2:6" x14ac:dyDescent="0.15">
      <c r="B22" s="492" t="s">
        <v>74</v>
      </c>
      <c r="C22" s="142"/>
      <c r="D22" s="238"/>
      <c r="E22" s="139"/>
      <c r="F22" s="526">
        <f>SUM(F19:F21)</f>
        <v>178884</v>
      </c>
    </row>
    <row r="23" spans="2:6" x14ac:dyDescent="0.15">
      <c r="B23" s="491" t="s">
        <v>182</v>
      </c>
      <c r="C23" s="142"/>
      <c r="D23" s="238"/>
      <c r="E23" s="139"/>
      <c r="F23" s="526">
        <f>F22+F18</f>
        <v>596280.5</v>
      </c>
    </row>
    <row r="24" spans="2:6" x14ac:dyDescent="0.15">
      <c r="B24" s="172" t="s">
        <v>77</v>
      </c>
      <c r="C24" s="166"/>
      <c r="D24" s="166"/>
      <c r="E24" s="166"/>
      <c r="F24" s="450">
        <f>F23+F10</f>
        <v>671280.5</v>
      </c>
    </row>
    <row r="25" spans="2:6" x14ac:dyDescent="0.15">
      <c r="B25" s="169" t="s">
        <v>167</v>
      </c>
      <c r="C25" s="169"/>
      <c r="D25" s="169"/>
      <c r="E25" s="169"/>
      <c r="F25" s="436">
        <f>0.07*F24</f>
        <v>46989.635000000002</v>
      </c>
    </row>
    <row r="26" spans="2:6" x14ac:dyDescent="0.15">
      <c r="B26" s="172" t="s">
        <v>149</v>
      </c>
      <c r="C26" s="166"/>
      <c r="D26" s="166"/>
      <c r="E26" s="166"/>
      <c r="F26" s="450">
        <f>SUM(F24:F25)</f>
        <v>718270.13500000001</v>
      </c>
    </row>
    <row r="28" spans="2:6" x14ac:dyDescent="0.15">
      <c r="B28" s="312" t="s">
        <v>317</v>
      </c>
    </row>
    <row r="30" spans="2:6" x14ac:dyDescent="0.15">
      <c r="B30" s="173" t="s">
        <v>168</v>
      </c>
      <c r="C30" s="239" t="s">
        <v>2</v>
      </c>
      <c r="D30" s="239" t="s">
        <v>3</v>
      </c>
      <c r="E30" s="239" t="s">
        <v>72</v>
      </c>
      <c r="F30" s="239" t="s">
        <v>60</v>
      </c>
    </row>
    <row r="31" spans="2:6" x14ac:dyDescent="0.15">
      <c r="B31" s="135" t="s">
        <v>63</v>
      </c>
      <c r="C31" s="433">
        <f>F7</f>
        <v>60000</v>
      </c>
      <c r="D31" s="434">
        <f>F14+F19</f>
        <v>473368</v>
      </c>
      <c r="E31" s="435"/>
      <c r="F31" s="436">
        <f t="shared" ref="F31:F36" si="0">SUM(C31:E31)</f>
        <v>533368</v>
      </c>
    </row>
    <row r="32" spans="2:6" x14ac:dyDescent="0.15">
      <c r="B32" s="135" t="s">
        <v>123</v>
      </c>
      <c r="C32" s="433">
        <f>F8</f>
        <v>15000</v>
      </c>
      <c r="D32" s="434">
        <f>F15+F20</f>
        <v>44703</v>
      </c>
      <c r="E32" s="435"/>
      <c r="F32" s="436">
        <f t="shared" si="0"/>
        <v>59703</v>
      </c>
    </row>
    <row r="33" spans="2:6" x14ac:dyDescent="0.15">
      <c r="B33" s="136" t="s">
        <v>69</v>
      </c>
      <c r="C33" s="433">
        <f>F9</f>
        <v>0</v>
      </c>
      <c r="D33" s="434">
        <f>F16+F21</f>
        <v>78209.5</v>
      </c>
      <c r="E33" s="435"/>
      <c r="F33" s="436">
        <f t="shared" si="0"/>
        <v>78209.5</v>
      </c>
    </row>
    <row r="34" spans="2:6" x14ac:dyDescent="0.15">
      <c r="B34" s="179" t="s">
        <v>169</v>
      </c>
      <c r="C34" s="437">
        <f>SUM(C31:C33)</f>
        <v>75000</v>
      </c>
      <c r="D34" s="437">
        <f>SUM(D31:D33)</f>
        <v>596280.5</v>
      </c>
      <c r="E34" s="437"/>
      <c r="F34" s="437">
        <f t="shared" si="0"/>
        <v>671280.5</v>
      </c>
    </row>
    <row r="35" spans="2:6" x14ac:dyDescent="0.15">
      <c r="B35" s="169" t="s">
        <v>121</v>
      </c>
      <c r="C35" s="433">
        <f>0.07*C34</f>
        <v>5250.0000000000009</v>
      </c>
      <c r="D35" s="434">
        <f>0.07*D34</f>
        <v>41739.635000000002</v>
      </c>
      <c r="E35" s="435"/>
      <c r="F35" s="436">
        <f t="shared" si="0"/>
        <v>46989.635000000002</v>
      </c>
    </row>
    <row r="36" spans="2:6" x14ac:dyDescent="0.15">
      <c r="B36" s="185" t="s">
        <v>1</v>
      </c>
      <c r="C36" s="433">
        <f>SUM(C34:C35)</f>
        <v>80250</v>
      </c>
      <c r="D36" s="434">
        <f>SUM(D34:D35)</f>
        <v>638020.13500000001</v>
      </c>
      <c r="E36" s="435"/>
      <c r="F36" s="436">
        <f t="shared" si="0"/>
        <v>718270.13500000001</v>
      </c>
    </row>
    <row r="38" spans="2:6" ht="0.75" customHeight="1" x14ac:dyDescent="0.15">
      <c r="B38" s="200" t="s">
        <v>58</v>
      </c>
    </row>
    <row r="39" spans="2:6" hidden="1" x14ac:dyDescent="0.15">
      <c r="B39" s="173" t="s">
        <v>56</v>
      </c>
      <c r="C39" s="173" t="s">
        <v>3</v>
      </c>
      <c r="E39" s="184"/>
    </row>
    <row r="40" spans="2:6" hidden="1" x14ac:dyDescent="0.15">
      <c r="B40" s="135" t="s">
        <v>63</v>
      </c>
      <c r="C40" s="171">
        <f>D31</f>
        <v>473368</v>
      </c>
      <c r="E40" s="240"/>
    </row>
    <row r="41" spans="2:6" hidden="1" x14ac:dyDescent="0.15">
      <c r="B41" s="135" t="s">
        <v>123</v>
      </c>
      <c r="C41" s="171">
        <f>D32</f>
        <v>44703</v>
      </c>
      <c r="E41" s="240"/>
    </row>
    <row r="42" spans="2:6" hidden="1" x14ac:dyDescent="0.15">
      <c r="B42" s="136" t="s">
        <v>69</v>
      </c>
      <c r="C42" s="171">
        <f>D33</f>
        <v>78209.5</v>
      </c>
      <c r="E42" s="240"/>
    </row>
    <row r="43" spans="2:6" hidden="1" x14ac:dyDescent="0.15">
      <c r="B43" s="169" t="s">
        <v>26</v>
      </c>
      <c r="C43" s="178">
        <f>SUM(C40:C42)</f>
        <v>596280.5</v>
      </c>
      <c r="E43" s="240"/>
    </row>
    <row r="44" spans="2:6" hidden="1" x14ac:dyDescent="0.15">
      <c r="B44" s="169" t="s">
        <v>57</v>
      </c>
      <c r="C44" s="171">
        <f>0.07*C43</f>
        <v>41739.635000000002</v>
      </c>
      <c r="E44" s="241"/>
    </row>
    <row r="45" spans="2:6" hidden="1" x14ac:dyDescent="0.15">
      <c r="B45" s="185" t="s">
        <v>1</v>
      </c>
      <c r="C45" s="186">
        <f>SUM(C43:C44)</f>
        <v>638020.13500000001</v>
      </c>
      <c r="E45" s="242"/>
    </row>
    <row r="47" spans="2:6" ht="25" thickBot="1" x14ac:dyDescent="0.2">
      <c r="B47" s="187" t="s">
        <v>170</v>
      </c>
      <c r="C47" s="219" t="e">
        <f>'[6]2019 Comparison'!F22</f>
        <v>#REF!</v>
      </c>
      <c r="D47" s="219" t="e">
        <f>'[6]2019 Comparison'!G22</f>
        <v>#REF!</v>
      </c>
      <c r="E47" s="219" t="e">
        <f>'[6]2019 Comparison'!H22</f>
        <v>#REF!</v>
      </c>
      <c r="F47" s="219" t="e">
        <f>'[6]2019 Comparison'!I22</f>
        <v>#REF!</v>
      </c>
    </row>
    <row r="48" spans="2:6" ht="13" thickTop="1" x14ac:dyDescent="0.15"/>
    <row r="49" spans="2:6" ht="12" customHeight="1" x14ac:dyDescent="0.15">
      <c r="B49" s="623" t="s">
        <v>187</v>
      </c>
      <c r="C49" s="623"/>
      <c r="D49" s="623"/>
      <c r="E49" s="623"/>
      <c r="F49" s="623"/>
    </row>
    <row r="50" spans="2:6" x14ac:dyDescent="0.15">
      <c r="B50" s="485" t="s">
        <v>62</v>
      </c>
      <c r="C50" s="191" t="s">
        <v>59</v>
      </c>
      <c r="D50" s="192" t="s">
        <v>2</v>
      </c>
      <c r="E50" s="207" t="s">
        <v>71</v>
      </c>
      <c r="F50" s="192" t="s">
        <v>72</v>
      </c>
    </row>
    <row r="51" spans="2:6" x14ac:dyDescent="0.15">
      <c r="B51" s="486" t="s">
        <v>63</v>
      </c>
      <c r="C51" s="444">
        <f>D51+E51+F51</f>
        <v>60000</v>
      </c>
      <c r="D51" s="433">
        <f>C31</f>
        <v>60000</v>
      </c>
      <c r="E51" s="176"/>
      <c r="F51" s="202"/>
    </row>
    <row r="52" spans="2:6" x14ac:dyDescent="0.15">
      <c r="B52" s="486" t="s">
        <v>64</v>
      </c>
      <c r="C52" s="444">
        <f t="shared" ref="C52:C57" si="1">D52+E52+F52</f>
        <v>0</v>
      </c>
      <c r="D52" s="433"/>
      <c r="E52" s="176"/>
      <c r="F52" s="202"/>
    </row>
    <row r="53" spans="2:6" x14ac:dyDescent="0.15">
      <c r="B53" s="487" t="s">
        <v>65</v>
      </c>
      <c r="C53" s="444">
        <f t="shared" si="1"/>
        <v>0</v>
      </c>
      <c r="D53" s="433"/>
      <c r="E53" s="176"/>
      <c r="F53" s="202"/>
    </row>
    <row r="54" spans="2:6" x14ac:dyDescent="0.15">
      <c r="B54" s="486" t="s">
        <v>66</v>
      </c>
      <c r="C54" s="444">
        <f t="shared" si="1"/>
        <v>0</v>
      </c>
      <c r="D54" s="433"/>
      <c r="E54" s="176"/>
      <c r="F54" s="202"/>
    </row>
    <row r="55" spans="2:6" x14ac:dyDescent="0.15">
      <c r="B55" s="486" t="s">
        <v>123</v>
      </c>
      <c r="C55" s="444">
        <f t="shared" si="1"/>
        <v>15000</v>
      </c>
      <c r="D55" s="433">
        <f>C32</f>
        <v>15000</v>
      </c>
      <c r="E55" s="176"/>
      <c r="F55" s="202"/>
    </row>
    <row r="56" spans="2:6" x14ac:dyDescent="0.15">
      <c r="B56" s="487" t="s">
        <v>68</v>
      </c>
      <c r="C56" s="444">
        <f t="shared" si="1"/>
        <v>0</v>
      </c>
      <c r="D56" s="433"/>
      <c r="E56" s="176"/>
      <c r="F56" s="202"/>
    </row>
    <row r="57" spans="2:6" x14ac:dyDescent="0.15">
      <c r="B57" s="487" t="s">
        <v>69</v>
      </c>
      <c r="C57" s="444">
        <f t="shared" si="1"/>
        <v>0</v>
      </c>
      <c r="D57" s="433"/>
      <c r="E57" s="176"/>
      <c r="F57" s="202"/>
    </row>
    <row r="58" spans="2:6" x14ac:dyDescent="0.15">
      <c r="B58" s="488" t="s">
        <v>74</v>
      </c>
      <c r="C58" s="445">
        <f>SUM(C51:C57)</f>
        <v>75000</v>
      </c>
      <c r="D58" s="445">
        <f>SUM(D51:D57)</f>
        <v>75000</v>
      </c>
      <c r="E58" s="198">
        <f>SUM(E51:E57)</f>
        <v>0</v>
      </c>
      <c r="F58" s="198">
        <f>SUM(F51:F57)</f>
        <v>0</v>
      </c>
    </row>
    <row r="60" spans="2:6" ht="30" customHeight="1" x14ac:dyDescent="0.15">
      <c r="B60" s="620" t="s">
        <v>242</v>
      </c>
      <c r="C60" s="621"/>
      <c r="D60" s="621"/>
      <c r="E60" s="621"/>
      <c r="F60" s="622"/>
    </row>
    <row r="61" spans="2:6" x14ac:dyDescent="0.15">
      <c r="B61" s="485" t="s">
        <v>62</v>
      </c>
      <c r="C61" s="191" t="s">
        <v>59</v>
      </c>
      <c r="D61" s="192" t="s">
        <v>2</v>
      </c>
      <c r="E61" s="207" t="s">
        <v>71</v>
      </c>
      <c r="F61" s="192" t="s">
        <v>72</v>
      </c>
    </row>
    <row r="62" spans="2:6" x14ac:dyDescent="0.15">
      <c r="B62" s="486" t="s">
        <v>63</v>
      </c>
      <c r="C62" s="444">
        <f>D62+E62+F62</f>
        <v>473368</v>
      </c>
      <c r="D62" s="433"/>
      <c r="E62" s="434">
        <f>D31</f>
        <v>473368</v>
      </c>
      <c r="F62" s="435"/>
    </row>
    <row r="63" spans="2:6" x14ac:dyDescent="0.15">
      <c r="B63" s="486" t="s">
        <v>64</v>
      </c>
      <c r="C63" s="444">
        <f t="shared" ref="C63:C68" si="2">D63+E63+F63</f>
        <v>0</v>
      </c>
      <c r="D63" s="433"/>
      <c r="E63" s="434"/>
      <c r="F63" s="435"/>
    </row>
    <row r="64" spans="2:6" x14ac:dyDescent="0.15">
      <c r="B64" s="487" t="s">
        <v>65</v>
      </c>
      <c r="C64" s="444">
        <f t="shared" si="2"/>
        <v>0</v>
      </c>
      <c r="D64" s="433"/>
      <c r="E64" s="434"/>
      <c r="F64" s="435"/>
    </row>
    <row r="65" spans="2:6" x14ac:dyDescent="0.15">
      <c r="B65" s="486" t="s">
        <v>66</v>
      </c>
      <c r="C65" s="444">
        <f t="shared" si="2"/>
        <v>0</v>
      </c>
      <c r="D65" s="433"/>
      <c r="E65" s="434"/>
      <c r="F65" s="435"/>
    </row>
    <row r="66" spans="2:6" x14ac:dyDescent="0.15">
      <c r="B66" s="486" t="s">
        <v>123</v>
      </c>
      <c r="C66" s="444">
        <f t="shared" si="2"/>
        <v>44703</v>
      </c>
      <c r="D66" s="433"/>
      <c r="E66" s="434">
        <f>D32</f>
        <v>44703</v>
      </c>
      <c r="F66" s="435"/>
    </row>
    <row r="67" spans="2:6" x14ac:dyDescent="0.15">
      <c r="B67" s="487" t="s">
        <v>68</v>
      </c>
      <c r="C67" s="444">
        <f t="shared" si="2"/>
        <v>0</v>
      </c>
      <c r="D67" s="433"/>
      <c r="E67" s="434"/>
      <c r="F67" s="435"/>
    </row>
    <row r="68" spans="2:6" x14ac:dyDescent="0.15">
      <c r="B68" s="487" t="s">
        <v>69</v>
      </c>
      <c r="C68" s="444">
        <f t="shared" si="2"/>
        <v>78209.5</v>
      </c>
      <c r="D68" s="433"/>
      <c r="E68" s="434">
        <f>D33</f>
        <v>78209.5</v>
      </c>
      <c r="F68" s="435"/>
    </row>
    <row r="69" spans="2:6" x14ac:dyDescent="0.15">
      <c r="B69" s="488" t="s">
        <v>74</v>
      </c>
      <c r="C69" s="445">
        <f>SUM(C62:C68)</f>
        <v>596280.5</v>
      </c>
      <c r="D69" s="445">
        <f>SUM(D62:D68)</f>
        <v>0</v>
      </c>
      <c r="E69" s="445">
        <f>SUM(E62:E68)</f>
        <v>596280.5</v>
      </c>
      <c r="F69" s="445">
        <f>SUM(F62:F68)</f>
        <v>0</v>
      </c>
    </row>
  </sheetData>
  <mergeCells count="24">
    <mergeCell ref="B49:F49"/>
    <mergeCell ref="B60:F60"/>
    <mergeCell ref="C15:C16"/>
    <mergeCell ref="B19:B21"/>
    <mergeCell ref="D19:D21"/>
    <mergeCell ref="C20:C21"/>
    <mergeCell ref="B14:B17"/>
    <mergeCell ref="D14:D17"/>
    <mergeCell ref="E16:E17"/>
    <mergeCell ref="F16:F17"/>
    <mergeCell ref="B7:B9"/>
    <mergeCell ref="D7:D9"/>
    <mergeCell ref="B11:F11"/>
    <mergeCell ref="B12:B13"/>
    <mergeCell ref="C12:C13"/>
    <mergeCell ref="D12:D13"/>
    <mergeCell ref="E12:F12"/>
    <mergeCell ref="C7:C9"/>
    <mergeCell ref="B3:F3"/>
    <mergeCell ref="B4:F4"/>
    <mergeCell ref="B5:B6"/>
    <mergeCell ref="C5:C6"/>
    <mergeCell ref="D5:D6"/>
    <mergeCell ref="E5:F5"/>
  </mergeCells>
  <pageMargins left="0.70866141732283472" right="0.70866141732283472" top="0.74803149606299213" bottom="0.74803149606299213" header="0.31496062992125984" footer="0.31496062992125984"/>
  <pageSetup paperSize="9" scale="80" orientation="landscape" horizontalDpi="300" verticalDpi="300"/>
  <rowBreaks count="1" manualBreakCount="1">
    <brk id="29"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F53"/>
  <sheetViews>
    <sheetView showGridLines="0" zoomScale="125" zoomScaleNormal="125" zoomScalePageLayoutView="125" workbookViewId="0">
      <selection activeCell="B44" sqref="B44:F44"/>
    </sheetView>
  </sheetViews>
  <sheetFormatPr baseColWidth="10" defaultColWidth="9.1640625" defaultRowHeight="12" x14ac:dyDescent="0.15"/>
  <cols>
    <col min="1" max="1" width="0.83203125" style="159" customWidth="1"/>
    <col min="2" max="2" width="36.6640625" style="182" customWidth="1"/>
    <col min="3" max="3" width="59" style="182" customWidth="1"/>
    <col min="4" max="4" width="10.5" style="182" customWidth="1"/>
    <col min="5" max="5" width="25.33203125" style="182" customWidth="1"/>
    <col min="6" max="6" width="23.1640625" style="182" customWidth="1"/>
    <col min="7" max="16384" width="9.1640625" style="159"/>
  </cols>
  <sheetData>
    <row r="3" spans="2:6" x14ac:dyDescent="0.15">
      <c r="B3" s="132" t="s">
        <v>318</v>
      </c>
      <c r="C3" s="132"/>
      <c r="D3" s="132"/>
      <c r="E3" s="132"/>
      <c r="F3" s="133"/>
    </row>
    <row r="4" spans="2:6" ht="28.5" customHeight="1" x14ac:dyDescent="0.15">
      <c r="B4" s="620" t="s">
        <v>242</v>
      </c>
      <c r="C4" s="621"/>
      <c r="D4" s="621"/>
      <c r="E4" s="621"/>
      <c r="F4" s="622"/>
    </row>
    <row r="5" spans="2:6" ht="17.25" customHeight="1" x14ac:dyDescent="0.15">
      <c r="B5" s="640" t="s">
        <v>106</v>
      </c>
      <c r="C5" s="640" t="s">
        <v>107</v>
      </c>
      <c r="D5" s="640" t="s">
        <v>108</v>
      </c>
      <c r="E5" s="642" t="s">
        <v>109</v>
      </c>
      <c r="F5" s="642"/>
    </row>
    <row r="6" spans="2:6" x14ac:dyDescent="0.15">
      <c r="B6" s="641"/>
      <c r="C6" s="641"/>
      <c r="D6" s="641"/>
      <c r="E6" s="467" t="s">
        <v>62</v>
      </c>
      <c r="F6" s="467" t="s">
        <v>110</v>
      </c>
    </row>
    <row r="7" spans="2:6" ht="31" customHeight="1" x14ac:dyDescent="0.15">
      <c r="B7" s="598" t="s">
        <v>319</v>
      </c>
      <c r="C7" s="127" t="s">
        <v>320</v>
      </c>
      <c r="D7" s="617" t="s">
        <v>71</v>
      </c>
      <c r="E7" s="475" t="s">
        <v>63</v>
      </c>
      <c r="F7" s="494">
        <v>324390</v>
      </c>
    </row>
    <row r="8" spans="2:6" ht="26" customHeight="1" x14ac:dyDescent="0.15">
      <c r="B8" s="604"/>
      <c r="C8" s="127" t="s">
        <v>321</v>
      </c>
      <c r="D8" s="618"/>
      <c r="E8" s="128" t="s">
        <v>123</v>
      </c>
      <c r="F8" s="494">
        <v>39268</v>
      </c>
    </row>
    <row r="9" spans="2:6" ht="36" customHeight="1" x14ac:dyDescent="0.15">
      <c r="B9" s="604"/>
      <c r="C9" s="127" t="s">
        <v>322</v>
      </c>
      <c r="D9" s="618"/>
      <c r="E9" s="598" t="s">
        <v>69</v>
      </c>
      <c r="F9" s="751">
        <v>77882</v>
      </c>
    </row>
    <row r="10" spans="2:6" ht="29" customHeight="1" x14ac:dyDescent="0.15">
      <c r="B10" s="604"/>
      <c r="C10" s="127" t="s">
        <v>323</v>
      </c>
      <c r="D10" s="618"/>
      <c r="E10" s="604"/>
      <c r="F10" s="752"/>
    </row>
    <row r="11" spans="2:6" ht="39" customHeight="1" x14ac:dyDescent="0.15">
      <c r="B11" s="604"/>
      <c r="C11" s="127" t="s">
        <v>324</v>
      </c>
      <c r="D11" s="618"/>
      <c r="E11" s="604"/>
      <c r="F11" s="752"/>
    </row>
    <row r="12" spans="2:6" ht="42" customHeight="1" x14ac:dyDescent="0.15">
      <c r="B12" s="599"/>
      <c r="C12" s="127" t="s">
        <v>325</v>
      </c>
      <c r="D12" s="619"/>
      <c r="E12" s="599"/>
      <c r="F12" s="754"/>
    </row>
    <row r="13" spans="2:6" x14ac:dyDescent="0.15">
      <c r="B13" s="172" t="s">
        <v>77</v>
      </c>
      <c r="C13" s="166"/>
      <c r="D13" s="166"/>
      <c r="E13" s="166"/>
      <c r="F13" s="450">
        <f>SUM(F7:F12)</f>
        <v>441540</v>
      </c>
    </row>
    <row r="14" spans="2:6" x14ac:dyDescent="0.15">
      <c r="B14" s="169" t="s">
        <v>167</v>
      </c>
      <c r="C14" s="169"/>
      <c r="D14" s="169"/>
      <c r="E14" s="169"/>
      <c r="F14" s="436">
        <f>0.07*F13</f>
        <v>30907.800000000003</v>
      </c>
    </row>
    <row r="15" spans="2:6" x14ac:dyDescent="0.15">
      <c r="B15" s="172" t="s">
        <v>149</v>
      </c>
      <c r="C15" s="166"/>
      <c r="D15" s="166"/>
      <c r="E15" s="166"/>
      <c r="F15" s="450">
        <f>SUM(F13:F14)</f>
        <v>472447.8</v>
      </c>
    </row>
    <row r="16" spans="2:6" x14ac:dyDescent="0.15">
      <c r="F16" s="442"/>
    </row>
    <row r="17" spans="2:6" x14ac:dyDescent="0.15">
      <c r="B17" s="312"/>
      <c r="F17" s="442"/>
    </row>
    <row r="18" spans="2:6" x14ac:dyDescent="0.15">
      <c r="B18" s="311"/>
      <c r="F18" s="442"/>
    </row>
    <row r="19" spans="2:6" ht="25" thickBot="1" x14ac:dyDescent="0.2">
      <c r="B19" s="187" t="s">
        <v>170</v>
      </c>
      <c r="C19" s="188"/>
      <c r="D19" s="188"/>
      <c r="E19" s="188"/>
      <c r="F19" s="443">
        <f>430200</f>
        <v>430200</v>
      </c>
    </row>
    <row r="20" spans="2:6" ht="13" thickTop="1" x14ac:dyDescent="0.15"/>
    <row r="21" spans="2:6" ht="22.5" customHeight="1" x14ac:dyDescent="0.15">
      <c r="B21" s="753"/>
      <c r="C21" s="753"/>
      <c r="D21" s="753"/>
      <c r="E21" s="753"/>
      <c r="F21" s="753"/>
    </row>
    <row r="22" spans="2:6" x14ac:dyDescent="0.15">
      <c r="B22" s="173" t="s">
        <v>168</v>
      </c>
      <c r="C22" s="239" t="s">
        <v>2</v>
      </c>
      <c r="D22" s="239" t="s">
        <v>71</v>
      </c>
      <c r="E22" s="239" t="s">
        <v>72</v>
      </c>
      <c r="F22" s="239" t="s">
        <v>60</v>
      </c>
    </row>
    <row r="23" spans="2:6" x14ac:dyDescent="0.15">
      <c r="B23" s="135" t="s">
        <v>63</v>
      </c>
      <c r="C23" s="433">
        <v>0</v>
      </c>
      <c r="D23" s="434">
        <f>F7</f>
        <v>324390</v>
      </c>
      <c r="E23" s="435"/>
      <c r="F23" s="436">
        <f t="shared" ref="F23:F28" si="0">SUM(C23:E23)</f>
        <v>324390</v>
      </c>
    </row>
    <row r="24" spans="2:6" x14ac:dyDescent="0.15">
      <c r="B24" s="135" t="s">
        <v>123</v>
      </c>
      <c r="C24" s="433">
        <v>0</v>
      </c>
      <c r="D24" s="434">
        <f>F8</f>
        <v>39268</v>
      </c>
      <c r="E24" s="435"/>
      <c r="F24" s="436">
        <f t="shared" si="0"/>
        <v>39268</v>
      </c>
    </row>
    <row r="25" spans="2:6" x14ac:dyDescent="0.15">
      <c r="B25" s="136" t="s">
        <v>69</v>
      </c>
      <c r="C25" s="433">
        <v>0</v>
      </c>
      <c r="D25" s="434">
        <f>F9</f>
        <v>77882</v>
      </c>
      <c r="E25" s="435"/>
      <c r="F25" s="436">
        <f t="shared" si="0"/>
        <v>77882</v>
      </c>
    </row>
    <row r="26" spans="2:6" x14ac:dyDescent="0.15">
      <c r="B26" s="179" t="s">
        <v>169</v>
      </c>
      <c r="C26" s="437">
        <v>0</v>
      </c>
      <c r="D26" s="437">
        <f>SUM(D23:D25)</f>
        <v>441540</v>
      </c>
      <c r="E26" s="437"/>
      <c r="F26" s="437">
        <f t="shared" si="0"/>
        <v>441540</v>
      </c>
    </row>
    <row r="27" spans="2:6" x14ac:dyDescent="0.15">
      <c r="B27" s="169" t="s">
        <v>121</v>
      </c>
      <c r="C27" s="433">
        <v>0</v>
      </c>
      <c r="D27" s="434">
        <f>D26*0.07</f>
        <v>30907.800000000003</v>
      </c>
      <c r="E27" s="435"/>
      <c r="F27" s="436">
        <f t="shared" si="0"/>
        <v>30907.800000000003</v>
      </c>
    </row>
    <row r="28" spans="2:6" x14ac:dyDescent="0.15">
      <c r="B28" s="185" t="s">
        <v>1</v>
      </c>
      <c r="C28" s="438">
        <v>0</v>
      </c>
      <c r="D28" s="439">
        <f>D27+D26</f>
        <v>472447.8</v>
      </c>
      <c r="E28" s="440"/>
      <c r="F28" s="441">
        <f t="shared" si="0"/>
        <v>472447.8</v>
      </c>
    </row>
    <row r="29" spans="2:6" x14ac:dyDescent="0.15">
      <c r="C29" s="442"/>
      <c r="D29" s="442"/>
      <c r="E29" s="442"/>
      <c r="F29" s="442"/>
    </row>
    <row r="30" spans="2:6" x14ac:dyDescent="0.15">
      <c r="C30" s="442"/>
      <c r="D30" s="442"/>
      <c r="E30" s="442"/>
      <c r="F30" s="442"/>
    </row>
    <row r="31" spans="2:6" ht="25" thickBot="1" x14ac:dyDescent="0.2">
      <c r="B31" s="187" t="s">
        <v>170</v>
      </c>
      <c r="C31" s="500" t="e">
        <f>'[6]2019 Comparison'!F23</f>
        <v>#REF!</v>
      </c>
      <c r="D31" s="500" t="e">
        <f>'[6]2019 Comparison'!G23</f>
        <v>#REF!</v>
      </c>
      <c r="E31" s="500" t="e">
        <f>'[6]2019 Comparison'!H23</f>
        <v>#REF!</v>
      </c>
      <c r="F31" s="500" t="e">
        <f>'[6]2019 Comparison'!I23</f>
        <v>#REF!</v>
      </c>
    </row>
    <row r="32" spans="2:6" ht="13" thickTop="1" x14ac:dyDescent="0.15"/>
    <row r="33" spans="2:6" x14ac:dyDescent="0.15">
      <c r="B33" s="620" t="s">
        <v>187</v>
      </c>
      <c r="C33" s="621"/>
      <c r="D33" s="621"/>
      <c r="E33" s="621"/>
      <c r="F33" s="622"/>
    </row>
    <row r="34" spans="2:6" x14ac:dyDescent="0.15">
      <c r="B34" s="485" t="s">
        <v>62</v>
      </c>
      <c r="C34" s="191" t="s">
        <v>59</v>
      </c>
      <c r="D34" s="192" t="s">
        <v>2</v>
      </c>
      <c r="E34" s="207" t="s">
        <v>71</v>
      </c>
      <c r="F34" s="192" t="s">
        <v>72</v>
      </c>
    </row>
    <row r="35" spans="2:6" x14ac:dyDescent="0.15">
      <c r="B35" s="486" t="s">
        <v>63</v>
      </c>
      <c r="C35" s="194">
        <f>D35+E35+F35</f>
        <v>0</v>
      </c>
      <c r="D35" s="175"/>
      <c r="E35" s="176"/>
      <c r="F35" s="202"/>
    </row>
    <row r="36" spans="2:6" x14ac:dyDescent="0.15">
      <c r="B36" s="486" t="s">
        <v>64</v>
      </c>
      <c r="C36" s="194">
        <f t="shared" ref="C36:C41" si="1">D36+E36+F36</f>
        <v>0</v>
      </c>
      <c r="D36" s="175"/>
      <c r="E36" s="176"/>
      <c r="F36" s="202"/>
    </row>
    <row r="37" spans="2:6" x14ac:dyDescent="0.15">
      <c r="B37" s="487" t="s">
        <v>65</v>
      </c>
      <c r="C37" s="194">
        <f t="shared" si="1"/>
        <v>0</v>
      </c>
      <c r="D37" s="175"/>
      <c r="E37" s="176"/>
      <c r="F37" s="202"/>
    </row>
    <row r="38" spans="2:6" x14ac:dyDescent="0.15">
      <c r="B38" s="486" t="s">
        <v>66</v>
      </c>
      <c r="C38" s="194">
        <f t="shared" si="1"/>
        <v>0</v>
      </c>
      <c r="D38" s="175"/>
      <c r="E38" s="176"/>
      <c r="F38" s="202"/>
    </row>
    <row r="39" spans="2:6" x14ac:dyDescent="0.15">
      <c r="B39" s="486" t="s">
        <v>123</v>
      </c>
      <c r="C39" s="194">
        <f t="shared" si="1"/>
        <v>0</v>
      </c>
      <c r="D39" s="175"/>
      <c r="E39" s="176"/>
      <c r="F39" s="202"/>
    </row>
    <row r="40" spans="2:6" x14ac:dyDescent="0.15">
      <c r="B40" s="487" t="s">
        <v>68</v>
      </c>
      <c r="C40" s="194">
        <f t="shared" si="1"/>
        <v>0</v>
      </c>
      <c r="D40" s="175"/>
      <c r="E40" s="176"/>
      <c r="F40" s="202"/>
    </row>
    <row r="41" spans="2:6" x14ac:dyDescent="0.15">
      <c r="B41" s="487" t="s">
        <v>69</v>
      </c>
      <c r="C41" s="194">
        <f t="shared" si="1"/>
        <v>0</v>
      </c>
      <c r="D41" s="175"/>
      <c r="E41" s="176"/>
      <c r="F41" s="202"/>
    </row>
    <row r="42" spans="2:6" x14ac:dyDescent="0.15">
      <c r="B42" s="488" t="s">
        <v>74</v>
      </c>
      <c r="C42" s="198">
        <f>SUM(C35:C41)</f>
        <v>0</v>
      </c>
      <c r="D42" s="198">
        <f>SUM(D35:D41)</f>
        <v>0</v>
      </c>
      <c r="E42" s="198">
        <f>SUM(E35:E41)</f>
        <v>0</v>
      </c>
      <c r="F42" s="198">
        <f>SUM(F35:F41)</f>
        <v>0</v>
      </c>
    </row>
    <row r="44" spans="2:6" ht="31.5" customHeight="1" x14ac:dyDescent="0.15">
      <c r="B44" s="620" t="s">
        <v>242</v>
      </c>
      <c r="C44" s="621"/>
      <c r="D44" s="621"/>
      <c r="E44" s="621"/>
      <c r="F44" s="622"/>
    </row>
    <row r="45" spans="2:6" x14ac:dyDescent="0.15">
      <c r="B45" s="485" t="s">
        <v>62</v>
      </c>
      <c r="C45" s="191" t="s">
        <v>59</v>
      </c>
      <c r="D45" s="192" t="s">
        <v>2</v>
      </c>
      <c r="E45" s="207" t="s">
        <v>71</v>
      </c>
      <c r="F45" s="192" t="s">
        <v>72</v>
      </c>
    </row>
    <row r="46" spans="2:6" x14ac:dyDescent="0.15">
      <c r="B46" s="486" t="s">
        <v>63</v>
      </c>
      <c r="C46" s="444">
        <f>D46+E46+F46</f>
        <v>324390</v>
      </c>
      <c r="D46" s="433"/>
      <c r="E46" s="434">
        <f>D23</f>
        <v>324390</v>
      </c>
      <c r="F46" s="435"/>
    </row>
    <row r="47" spans="2:6" x14ac:dyDescent="0.15">
      <c r="B47" s="486" t="s">
        <v>64</v>
      </c>
      <c r="C47" s="444">
        <f t="shared" ref="C47:C52" si="2">D47+E47+F47</f>
        <v>0</v>
      </c>
      <c r="D47" s="433"/>
      <c r="E47" s="434"/>
      <c r="F47" s="435"/>
    </row>
    <row r="48" spans="2:6" x14ac:dyDescent="0.15">
      <c r="B48" s="487" t="s">
        <v>65</v>
      </c>
      <c r="C48" s="444">
        <f t="shared" si="2"/>
        <v>0</v>
      </c>
      <c r="D48" s="433"/>
      <c r="E48" s="434"/>
      <c r="F48" s="435"/>
    </row>
    <row r="49" spans="2:6" x14ac:dyDescent="0.15">
      <c r="B49" s="486" t="s">
        <v>66</v>
      </c>
      <c r="C49" s="444">
        <f t="shared" si="2"/>
        <v>0</v>
      </c>
      <c r="D49" s="433"/>
      <c r="E49" s="434"/>
      <c r="F49" s="435"/>
    </row>
    <row r="50" spans="2:6" x14ac:dyDescent="0.15">
      <c r="B50" s="486" t="s">
        <v>123</v>
      </c>
      <c r="C50" s="444">
        <f t="shared" si="2"/>
        <v>39268</v>
      </c>
      <c r="D50" s="433"/>
      <c r="E50" s="434">
        <f>D24</f>
        <v>39268</v>
      </c>
      <c r="F50" s="435"/>
    </row>
    <row r="51" spans="2:6" x14ac:dyDescent="0.15">
      <c r="B51" s="487" t="s">
        <v>68</v>
      </c>
      <c r="C51" s="444">
        <f t="shared" si="2"/>
        <v>0</v>
      </c>
      <c r="D51" s="433"/>
      <c r="E51" s="434"/>
      <c r="F51" s="435"/>
    </row>
    <row r="52" spans="2:6" x14ac:dyDescent="0.15">
      <c r="B52" s="487" t="s">
        <v>69</v>
      </c>
      <c r="C52" s="444">
        <f t="shared" si="2"/>
        <v>77882</v>
      </c>
      <c r="D52" s="433"/>
      <c r="E52" s="434">
        <f>D25</f>
        <v>77882</v>
      </c>
      <c r="F52" s="435"/>
    </row>
    <row r="53" spans="2:6" x14ac:dyDescent="0.15">
      <c r="B53" s="488" t="s">
        <v>74</v>
      </c>
      <c r="C53" s="445">
        <f>SUM(C46:C52)</f>
        <v>441540</v>
      </c>
      <c r="D53" s="445">
        <f>SUM(D46:D52)</f>
        <v>0</v>
      </c>
      <c r="E53" s="445">
        <f>SUM(E46:E52)</f>
        <v>441540</v>
      </c>
      <c r="F53" s="445">
        <f>SUM(F46:F52)</f>
        <v>0</v>
      </c>
    </row>
  </sheetData>
  <mergeCells count="12">
    <mergeCell ref="B4:F4"/>
    <mergeCell ref="B5:B6"/>
    <mergeCell ref="C5:C6"/>
    <mergeCell ref="D5:D6"/>
    <mergeCell ref="E5:F5"/>
    <mergeCell ref="B21:F21"/>
    <mergeCell ref="B33:F33"/>
    <mergeCell ref="B44:F44"/>
    <mergeCell ref="B7:B12"/>
    <mergeCell ref="D7:D12"/>
    <mergeCell ref="E9:E12"/>
    <mergeCell ref="F9:F12"/>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M68"/>
  <sheetViews>
    <sheetView showGridLines="0" zoomScale="150" zoomScaleNormal="150" zoomScalePageLayoutView="150" workbookViewId="0">
      <selection activeCell="B46" sqref="B46"/>
    </sheetView>
  </sheetViews>
  <sheetFormatPr baseColWidth="10" defaultColWidth="8.83203125" defaultRowHeight="12" x14ac:dyDescent="0.2"/>
  <cols>
    <col min="1" max="1" width="1.6640625" style="182" customWidth="1"/>
    <col min="2" max="2" width="40.6640625" style="182" customWidth="1"/>
    <col min="3" max="3" width="58" style="182" customWidth="1"/>
    <col min="4" max="4" width="10.5" style="182" customWidth="1"/>
    <col min="5" max="5" width="26.6640625" style="182" customWidth="1"/>
    <col min="6" max="6" width="14.1640625" style="182" customWidth="1"/>
    <col min="7" max="7" width="16.1640625" style="182" customWidth="1"/>
    <col min="8" max="256" width="10.83203125" style="182" customWidth="1"/>
    <col min="257" max="16384" width="8.83203125" style="182"/>
  </cols>
  <sheetData>
    <row r="3" spans="2:6" x14ac:dyDescent="0.2">
      <c r="B3" s="746" t="s">
        <v>337</v>
      </c>
      <c r="C3" s="746"/>
      <c r="D3" s="746"/>
      <c r="E3" s="746"/>
      <c r="F3" s="746"/>
    </row>
    <row r="4" spans="2:6" ht="21" customHeight="1" x14ac:dyDescent="0.2">
      <c r="B4" s="623" t="s">
        <v>187</v>
      </c>
      <c r="C4" s="623"/>
      <c r="D4" s="623"/>
      <c r="E4" s="623"/>
      <c r="F4" s="623"/>
    </row>
    <row r="5" spans="2:6" ht="16.5" customHeight="1" x14ac:dyDescent="0.2">
      <c r="B5" s="640" t="s">
        <v>106</v>
      </c>
      <c r="C5" s="640" t="s">
        <v>107</v>
      </c>
      <c r="D5" s="640" t="s">
        <v>108</v>
      </c>
      <c r="E5" s="642" t="s">
        <v>109</v>
      </c>
      <c r="F5" s="642"/>
    </row>
    <row r="6" spans="2:6" ht="12" customHeight="1" x14ac:dyDescent="0.2">
      <c r="B6" s="641"/>
      <c r="C6" s="641"/>
      <c r="D6" s="641"/>
      <c r="E6" s="467" t="s">
        <v>62</v>
      </c>
      <c r="F6" s="467" t="s">
        <v>110</v>
      </c>
    </row>
    <row r="7" spans="2:6" ht="37.5" customHeight="1" x14ac:dyDescent="0.2">
      <c r="B7" s="719" t="s">
        <v>326</v>
      </c>
      <c r="C7" s="124" t="s">
        <v>327</v>
      </c>
      <c r="D7" s="646" t="s">
        <v>72</v>
      </c>
      <c r="E7" s="474" t="s">
        <v>63</v>
      </c>
      <c r="F7" s="449">
        <v>100000</v>
      </c>
    </row>
    <row r="8" spans="2:6" ht="17" customHeight="1" x14ac:dyDescent="0.2">
      <c r="B8" s="720"/>
      <c r="C8" s="124" t="s">
        <v>328</v>
      </c>
      <c r="D8" s="647"/>
      <c r="E8" s="115" t="s">
        <v>123</v>
      </c>
      <c r="F8" s="448">
        <v>50000</v>
      </c>
    </row>
    <row r="9" spans="2:6" ht="38" customHeight="1" x14ac:dyDescent="0.2">
      <c r="B9" s="721"/>
      <c r="C9" s="120" t="s">
        <v>329</v>
      </c>
      <c r="D9" s="648"/>
      <c r="E9" s="116" t="s">
        <v>69</v>
      </c>
      <c r="F9" s="448">
        <v>50000</v>
      </c>
    </row>
    <row r="10" spans="2:6" x14ac:dyDescent="0.2">
      <c r="B10" s="139" t="s">
        <v>182</v>
      </c>
      <c r="C10" s="142"/>
      <c r="D10" s="238"/>
      <c r="E10" s="139"/>
      <c r="F10" s="538">
        <f>SUM(F7:F9)</f>
        <v>200000</v>
      </c>
    </row>
    <row r="11" spans="2:6" ht="28.5" customHeight="1" x14ac:dyDescent="0.2">
      <c r="B11" s="620" t="s">
        <v>242</v>
      </c>
      <c r="C11" s="621"/>
      <c r="D11" s="621"/>
      <c r="E11" s="621"/>
      <c r="F11" s="622"/>
    </row>
    <row r="12" spans="2:6" ht="17.25" customHeight="1" x14ac:dyDescent="0.2">
      <c r="B12" s="640" t="s">
        <v>106</v>
      </c>
      <c r="C12" s="640" t="s">
        <v>107</v>
      </c>
      <c r="D12" s="640" t="s">
        <v>108</v>
      </c>
      <c r="E12" s="642" t="s">
        <v>109</v>
      </c>
      <c r="F12" s="642"/>
    </row>
    <row r="13" spans="2:6" ht="16.5" customHeight="1" x14ac:dyDescent="0.2">
      <c r="B13" s="641"/>
      <c r="C13" s="641"/>
      <c r="D13" s="641"/>
      <c r="E13" s="467" t="s">
        <v>62</v>
      </c>
      <c r="F13" s="467" t="s">
        <v>110</v>
      </c>
    </row>
    <row r="14" spans="2:6" ht="31" customHeight="1" x14ac:dyDescent="0.2">
      <c r="B14" s="694" t="s">
        <v>331</v>
      </c>
      <c r="C14" s="121" t="s">
        <v>330</v>
      </c>
      <c r="D14" s="647" t="s">
        <v>72</v>
      </c>
      <c r="E14" s="116" t="s">
        <v>63</v>
      </c>
      <c r="F14" s="539">
        <v>409000</v>
      </c>
    </row>
    <row r="15" spans="2:6" ht="13.5" customHeight="1" x14ac:dyDescent="0.2">
      <c r="B15" s="712"/>
      <c r="C15" s="122" t="s">
        <v>334</v>
      </c>
      <c r="D15" s="647"/>
      <c r="E15" s="116" t="s">
        <v>123</v>
      </c>
      <c r="F15" s="539">
        <v>150000</v>
      </c>
    </row>
    <row r="16" spans="2:6" ht="25.25" customHeight="1" x14ac:dyDescent="0.2">
      <c r="B16" s="712"/>
      <c r="C16" s="755" t="s">
        <v>335</v>
      </c>
      <c r="D16" s="647"/>
      <c r="E16" s="116" t="s">
        <v>69</v>
      </c>
      <c r="F16" s="539">
        <v>110000</v>
      </c>
    </row>
    <row r="17" spans="2:7" ht="16.5" customHeight="1" x14ac:dyDescent="0.2">
      <c r="B17" s="695"/>
      <c r="C17" s="756"/>
      <c r="D17" s="648"/>
      <c r="E17" s="144" t="s">
        <v>66</v>
      </c>
      <c r="F17" s="540">
        <v>30000</v>
      </c>
    </row>
    <row r="18" spans="2:7" ht="16.5" customHeight="1" x14ac:dyDescent="0.2">
      <c r="B18" s="139" t="s">
        <v>74</v>
      </c>
      <c r="C18" s="142"/>
      <c r="D18" s="238"/>
      <c r="E18" s="139"/>
      <c r="F18" s="538">
        <f>SUM(F14:F17)</f>
        <v>699000</v>
      </c>
    </row>
    <row r="19" spans="2:7" ht="30" customHeight="1" x14ac:dyDescent="0.2">
      <c r="B19" s="694" t="s">
        <v>332</v>
      </c>
      <c r="C19" s="123" t="s">
        <v>333</v>
      </c>
      <c r="D19" s="647" t="s">
        <v>72</v>
      </c>
      <c r="E19" s="473" t="s">
        <v>63</v>
      </c>
      <c r="F19" s="541">
        <v>300000</v>
      </c>
    </row>
    <row r="20" spans="2:7" ht="18.75" customHeight="1" x14ac:dyDescent="0.2">
      <c r="B20" s="712"/>
      <c r="C20" s="123" t="s">
        <v>338</v>
      </c>
      <c r="D20" s="647"/>
      <c r="E20" s="115" t="s">
        <v>123</v>
      </c>
      <c r="F20" s="541">
        <v>45000</v>
      </c>
    </row>
    <row r="21" spans="2:7" ht="27" customHeight="1" x14ac:dyDescent="0.2">
      <c r="B21" s="695"/>
      <c r="C21" s="119" t="s">
        <v>336</v>
      </c>
      <c r="D21" s="648"/>
      <c r="E21" s="116" t="s">
        <v>69</v>
      </c>
      <c r="F21" s="541">
        <v>65000</v>
      </c>
    </row>
    <row r="22" spans="2:7" ht="16.5" customHeight="1" x14ac:dyDescent="0.2">
      <c r="B22" s="248" t="s">
        <v>74</v>
      </c>
      <c r="C22" s="142"/>
      <c r="D22" s="238"/>
      <c r="E22" s="139"/>
      <c r="F22" s="538">
        <f>SUM(F19:F21)</f>
        <v>410000</v>
      </c>
    </row>
    <row r="23" spans="2:7" ht="16.5" customHeight="1" x14ac:dyDescent="0.2">
      <c r="B23" s="291" t="s">
        <v>182</v>
      </c>
      <c r="C23" s="142"/>
      <c r="D23" s="238"/>
      <c r="E23" s="139"/>
      <c r="F23" s="538">
        <f>F22+F18</f>
        <v>1109000</v>
      </c>
    </row>
    <row r="24" spans="2:7" x14ac:dyDescent="0.2">
      <c r="B24" s="172" t="s">
        <v>77</v>
      </c>
      <c r="C24" s="166"/>
      <c r="D24" s="166"/>
      <c r="E24" s="166"/>
      <c r="F24" s="542">
        <f>F23+F10</f>
        <v>1309000</v>
      </c>
      <c r="G24" s="221"/>
    </row>
    <row r="25" spans="2:7" x14ac:dyDescent="0.2">
      <c r="B25" s="169" t="s">
        <v>167</v>
      </c>
      <c r="C25" s="169"/>
      <c r="D25" s="169"/>
      <c r="E25" s="169"/>
      <c r="F25" s="543">
        <f>0.07*F24</f>
        <v>91630.000000000015</v>
      </c>
      <c r="G25" s="221"/>
    </row>
    <row r="26" spans="2:7" x14ac:dyDescent="0.2">
      <c r="B26" s="172" t="s">
        <v>149</v>
      </c>
      <c r="C26" s="166"/>
      <c r="D26" s="166"/>
      <c r="E26" s="166"/>
      <c r="F26" s="542">
        <f>SUM(F24:F25)</f>
        <v>1400630</v>
      </c>
      <c r="G26" s="221"/>
    </row>
    <row r="28" spans="2:7" x14ac:dyDescent="0.2">
      <c r="B28" s="173" t="s">
        <v>168</v>
      </c>
      <c r="C28" s="173" t="s">
        <v>2</v>
      </c>
      <c r="D28" s="173" t="s">
        <v>71</v>
      </c>
      <c r="E28" s="173" t="s">
        <v>72</v>
      </c>
      <c r="F28" s="173" t="s">
        <v>60</v>
      </c>
    </row>
    <row r="29" spans="2:7" x14ac:dyDescent="0.2">
      <c r="B29" s="135" t="s">
        <v>63</v>
      </c>
      <c r="C29" s="175"/>
      <c r="D29" s="176"/>
      <c r="E29" s="435">
        <f>F7+F14+F19</f>
        <v>809000</v>
      </c>
      <c r="F29" s="436">
        <f>SUM(C29:E29)</f>
        <v>809000</v>
      </c>
    </row>
    <row r="30" spans="2:7" x14ac:dyDescent="0.2">
      <c r="B30" s="135" t="s">
        <v>123</v>
      </c>
      <c r="C30" s="175"/>
      <c r="D30" s="176"/>
      <c r="E30" s="435">
        <f>F8+F15+F20</f>
        <v>245000</v>
      </c>
      <c r="F30" s="436">
        <f t="shared" ref="F30:F35" si="0">SUM(C30:E30)</f>
        <v>245000</v>
      </c>
    </row>
    <row r="31" spans="2:7" x14ac:dyDescent="0.2">
      <c r="B31" s="136" t="s">
        <v>69</v>
      </c>
      <c r="C31" s="175"/>
      <c r="D31" s="176"/>
      <c r="E31" s="435">
        <f>F21+F16+F9</f>
        <v>225000</v>
      </c>
      <c r="F31" s="436">
        <f t="shared" si="0"/>
        <v>225000</v>
      </c>
    </row>
    <row r="32" spans="2:7" x14ac:dyDescent="0.2">
      <c r="B32" s="136" t="s">
        <v>66</v>
      </c>
      <c r="C32" s="175"/>
      <c r="D32" s="176"/>
      <c r="E32" s="435">
        <f>F17</f>
        <v>30000</v>
      </c>
      <c r="F32" s="436">
        <f t="shared" si="0"/>
        <v>30000</v>
      </c>
    </row>
    <row r="33" spans="2:7" x14ac:dyDescent="0.2">
      <c r="B33" s="227" t="s">
        <v>169</v>
      </c>
      <c r="C33" s="228">
        <v>0</v>
      </c>
      <c r="D33" s="243">
        <f>SUM(D30:D32)</f>
        <v>0</v>
      </c>
      <c r="E33" s="544">
        <f>SUM(E29:E32)</f>
        <v>1309000</v>
      </c>
      <c r="F33" s="537">
        <f t="shared" si="0"/>
        <v>1309000</v>
      </c>
      <c r="G33" s="222">
        <f>C57+C68</f>
        <v>1309000</v>
      </c>
    </row>
    <row r="34" spans="2:7" x14ac:dyDescent="0.2">
      <c r="B34" s="169" t="s">
        <v>339</v>
      </c>
      <c r="C34" s="175">
        <v>0</v>
      </c>
      <c r="D34" s="176">
        <f>D33*0.07</f>
        <v>0</v>
      </c>
      <c r="E34" s="435">
        <f>E33*0.07</f>
        <v>91630.000000000015</v>
      </c>
      <c r="F34" s="436">
        <f t="shared" si="0"/>
        <v>91630.000000000015</v>
      </c>
    </row>
    <row r="35" spans="2:7" x14ac:dyDescent="0.2">
      <c r="B35" s="185" t="s">
        <v>1</v>
      </c>
      <c r="C35" s="205">
        <v>0</v>
      </c>
      <c r="D35" s="287">
        <f>D34+D33</f>
        <v>0</v>
      </c>
      <c r="E35" s="440">
        <f>E34+E33</f>
        <v>1400630</v>
      </c>
      <c r="F35" s="441">
        <f t="shared" si="0"/>
        <v>1400630</v>
      </c>
    </row>
    <row r="36" spans="2:7" ht="12" customHeight="1" x14ac:dyDescent="0.2">
      <c r="E36" s="442"/>
      <c r="F36" s="442"/>
    </row>
    <row r="37" spans="2:7" hidden="1" x14ac:dyDescent="0.2">
      <c r="B37" s="200" t="s">
        <v>340</v>
      </c>
      <c r="E37" s="442"/>
      <c r="F37" s="442"/>
    </row>
    <row r="38" spans="2:7" ht="7" hidden="1" customHeight="1" x14ac:dyDescent="0.2">
      <c r="B38" s="173" t="s">
        <v>120</v>
      </c>
      <c r="C38" s="173" t="s">
        <v>72</v>
      </c>
      <c r="E38" s="442"/>
      <c r="F38" s="442"/>
    </row>
    <row r="39" spans="2:7" hidden="1" x14ac:dyDescent="0.2">
      <c r="B39" s="135" t="s">
        <v>63</v>
      </c>
      <c r="C39" s="178">
        <f>F14+F19</f>
        <v>709000</v>
      </c>
      <c r="E39" s="442"/>
      <c r="F39" s="442"/>
    </row>
    <row r="40" spans="2:7" hidden="1" x14ac:dyDescent="0.2">
      <c r="B40" s="135" t="s">
        <v>123</v>
      </c>
      <c r="C40" s="178">
        <f>F15+F20</f>
        <v>195000</v>
      </c>
      <c r="E40" s="442"/>
      <c r="F40" s="442"/>
    </row>
    <row r="41" spans="2:7" hidden="1" x14ac:dyDescent="0.2">
      <c r="B41" s="136" t="s">
        <v>69</v>
      </c>
      <c r="C41" s="178">
        <f>F16+F21</f>
        <v>175000</v>
      </c>
      <c r="E41" s="442"/>
      <c r="F41" s="442"/>
    </row>
    <row r="42" spans="2:7" hidden="1" x14ac:dyDescent="0.2">
      <c r="B42" s="136" t="s">
        <v>66</v>
      </c>
      <c r="C42" s="178">
        <f>F17</f>
        <v>30000</v>
      </c>
      <c r="E42" s="442"/>
      <c r="F42" s="442"/>
    </row>
    <row r="43" spans="2:7" hidden="1" x14ac:dyDescent="0.2">
      <c r="B43" s="136" t="s">
        <v>169</v>
      </c>
      <c r="C43" s="178">
        <f>SUM(C39:C42)</f>
        <v>1109000</v>
      </c>
      <c r="D43" s="244"/>
      <c r="E43" s="442"/>
      <c r="F43" s="442"/>
    </row>
    <row r="44" spans="2:7" hidden="1" x14ac:dyDescent="0.2">
      <c r="B44" s="169" t="s">
        <v>339</v>
      </c>
      <c r="C44" s="171">
        <f>0.07*C43</f>
        <v>77630.000000000015</v>
      </c>
      <c r="E44" s="442"/>
      <c r="F44" s="442"/>
    </row>
    <row r="45" spans="2:7" hidden="1" x14ac:dyDescent="0.2">
      <c r="B45" s="245" t="s">
        <v>1</v>
      </c>
      <c r="C45" s="246">
        <f>SUM(C43:C44)</f>
        <v>1186630</v>
      </c>
      <c r="E45" s="442"/>
      <c r="F45" s="442"/>
    </row>
    <row r="46" spans="2:7" ht="13" thickBot="1" x14ac:dyDescent="0.25">
      <c r="B46" s="187" t="s">
        <v>170</v>
      </c>
      <c r="C46" s="247">
        <f>'Comparaison 2020 '!F24</f>
        <v>0</v>
      </c>
      <c r="D46" s="247">
        <f>'Comparaison 2020 '!G24</f>
        <v>0</v>
      </c>
      <c r="E46" s="545">
        <f>'Comparaison 2020 '!H24</f>
        <v>1309000</v>
      </c>
      <c r="F46" s="545">
        <f>'Comparaison 2020 '!I24</f>
        <v>0</v>
      </c>
    </row>
    <row r="47" spans="2:7" ht="13" thickTop="1" x14ac:dyDescent="0.2"/>
    <row r="48" spans="2:7" ht="29.25" customHeight="1" x14ac:dyDescent="0.2">
      <c r="B48" s="623" t="s">
        <v>187</v>
      </c>
      <c r="C48" s="623"/>
      <c r="D48" s="623"/>
      <c r="E48" s="623"/>
      <c r="F48" s="623"/>
    </row>
    <row r="49" spans="2:13" x14ac:dyDescent="0.2">
      <c r="B49" s="485" t="s">
        <v>62</v>
      </c>
      <c r="C49" s="191" t="s">
        <v>59</v>
      </c>
      <c r="D49" s="192" t="s">
        <v>2</v>
      </c>
      <c r="E49" s="207" t="s">
        <v>71</v>
      </c>
      <c r="F49" s="192" t="s">
        <v>72</v>
      </c>
    </row>
    <row r="50" spans="2:13" x14ac:dyDescent="0.2">
      <c r="B50" s="486" t="s">
        <v>63</v>
      </c>
      <c r="C50" s="444">
        <f>SUM(D50:F50)</f>
        <v>100000</v>
      </c>
      <c r="D50" s="433"/>
      <c r="E50" s="434"/>
      <c r="F50" s="435">
        <f>F7</f>
        <v>100000</v>
      </c>
    </row>
    <row r="51" spans="2:13" x14ac:dyDescent="0.2">
      <c r="B51" s="486" t="s">
        <v>64</v>
      </c>
      <c r="C51" s="444">
        <f t="shared" ref="C51:C56" si="1">SUM(D51:F51)</f>
        <v>0</v>
      </c>
      <c r="D51" s="433"/>
      <c r="E51" s="434"/>
      <c r="F51" s="435"/>
      <c r="M51" s="182" t="s">
        <v>61</v>
      </c>
    </row>
    <row r="52" spans="2:13" x14ac:dyDescent="0.2">
      <c r="B52" s="487" t="s">
        <v>65</v>
      </c>
      <c r="C52" s="444">
        <f t="shared" si="1"/>
        <v>0</v>
      </c>
      <c r="D52" s="433"/>
      <c r="E52" s="434"/>
      <c r="F52" s="435"/>
    </row>
    <row r="53" spans="2:13" x14ac:dyDescent="0.2">
      <c r="B53" s="486" t="s">
        <v>66</v>
      </c>
      <c r="C53" s="444">
        <f t="shared" si="1"/>
        <v>0</v>
      </c>
      <c r="D53" s="433"/>
      <c r="E53" s="434"/>
      <c r="F53" s="435"/>
    </row>
    <row r="54" spans="2:13" x14ac:dyDescent="0.2">
      <c r="B54" s="486" t="s">
        <v>123</v>
      </c>
      <c r="C54" s="444">
        <f t="shared" si="1"/>
        <v>50000</v>
      </c>
      <c r="D54" s="433"/>
      <c r="E54" s="434"/>
      <c r="F54" s="435">
        <f>F8</f>
        <v>50000</v>
      </c>
    </row>
    <row r="55" spans="2:13" x14ac:dyDescent="0.2">
      <c r="B55" s="487" t="s">
        <v>68</v>
      </c>
      <c r="C55" s="444">
        <f t="shared" si="1"/>
        <v>0</v>
      </c>
      <c r="D55" s="433"/>
      <c r="E55" s="434"/>
      <c r="F55" s="435"/>
    </row>
    <row r="56" spans="2:13" x14ac:dyDescent="0.2">
      <c r="B56" s="487" t="s">
        <v>69</v>
      </c>
      <c r="C56" s="444">
        <f t="shared" si="1"/>
        <v>50000</v>
      </c>
      <c r="D56" s="433"/>
      <c r="E56" s="434"/>
      <c r="F56" s="435">
        <f>F9</f>
        <v>50000</v>
      </c>
    </row>
    <row r="57" spans="2:13" x14ac:dyDescent="0.2">
      <c r="B57" s="488" t="s">
        <v>74</v>
      </c>
      <c r="C57" s="445">
        <f>SUM(C50:C56)</f>
        <v>200000</v>
      </c>
      <c r="D57" s="445">
        <f>SUM(D50:D56)</f>
        <v>0</v>
      </c>
      <c r="E57" s="445">
        <f>SUM(E50:E56)</f>
        <v>0</v>
      </c>
      <c r="F57" s="445">
        <f>SUM(F50:F56)</f>
        <v>200000</v>
      </c>
    </row>
    <row r="59" spans="2:13" ht="30.75" customHeight="1" x14ac:dyDescent="0.2">
      <c r="B59" s="620" t="s">
        <v>242</v>
      </c>
      <c r="C59" s="621"/>
      <c r="D59" s="621"/>
      <c r="E59" s="621"/>
      <c r="F59" s="622"/>
    </row>
    <row r="60" spans="2:13" x14ac:dyDescent="0.2">
      <c r="B60" s="485" t="s">
        <v>62</v>
      </c>
      <c r="C60" s="191" t="s">
        <v>59</v>
      </c>
      <c r="D60" s="192" t="s">
        <v>2</v>
      </c>
      <c r="E60" s="207" t="s">
        <v>71</v>
      </c>
      <c r="F60" s="192" t="s">
        <v>72</v>
      </c>
    </row>
    <row r="61" spans="2:13" x14ac:dyDescent="0.2">
      <c r="B61" s="486" t="s">
        <v>63</v>
      </c>
      <c r="C61" s="444">
        <f>D61+E61+F61</f>
        <v>709000</v>
      </c>
      <c r="D61" s="433"/>
      <c r="E61" s="434"/>
      <c r="F61" s="435">
        <f>F14+F19</f>
        <v>709000</v>
      </c>
    </row>
    <row r="62" spans="2:13" x14ac:dyDescent="0.2">
      <c r="B62" s="486" t="s">
        <v>64</v>
      </c>
      <c r="C62" s="444">
        <f t="shared" ref="C62:C67" si="2">D62+E62+F62</f>
        <v>0</v>
      </c>
      <c r="D62" s="433"/>
      <c r="E62" s="434"/>
      <c r="F62" s="435"/>
    </row>
    <row r="63" spans="2:13" x14ac:dyDescent="0.2">
      <c r="B63" s="487" t="s">
        <v>65</v>
      </c>
      <c r="C63" s="444">
        <f t="shared" si="2"/>
        <v>0</v>
      </c>
      <c r="D63" s="433"/>
      <c r="E63" s="434"/>
      <c r="F63" s="435"/>
    </row>
    <row r="64" spans="2:13" x14ac:dyDescent="0.2">
      <c r="B64" s="486" t="s">
        <v>66</v>
      </c>
      <c r="C64" s="444">
        <f t="shared" si="2"/>
        <v>30000</v>
      </c>
      <c r="D64" s="433"/>
      <c r="E64" s="434"/>
      <c r="F64" s="435">
        <f>F17</f>
        <v>30000</v>
      </c>
    </row>
    <row r="65" spans="2:6" x14ac:dyDescent="0.2">
      <c r="B65" s="486" t="s">
        <v>123</v>
      </c>
      <c r="C65" s="444">
        <f t="shared" si="2"/>
        <v>195000</v>
      </c>
      <c r="D65" s="433"/>
      <c r="E65" s="434"/>
      <c r="F65" s="435">
        <f>F15+F20</f>
        <v>195000</v>
      </c>
    </row>
    <row r="66" spans="2:6" x14ac:dyDescent="0.2">
      <c r="B66" s="487" t="s">
        <v>68</v>
      </c>
      <c r="C66" s="444">
        <f t="shared" si="2"/>
        <v>0</v>
      </c>
      <c r="D66" s="433"/>
      <c r="E66" s="434"/>
      <c r="F66" s="435"/>
    </row>
    <row r="67" spans="2:6" x14ac:dyDescent="0.2">
      <c r="B67" s="487" t="s">
        <v>69</v>
      </c>
      <c r="C67" s="444">
        <f t="shared" si="2"/>
        <v>175000</v>
      </c>
      <c r="D67" s="433"/>
      <c r="E67" s="434"/>
      <c r="F67" s="435">
        <f>F21+F16</f>
        <v>175000</v>
      </c>
    </row>
    <row r="68" spans="2:6" x14ac:dyDescent="0.2">
      <c r="B68" s="488" t="s">
        <v>74</v>
      </c>
      <c r="C68" s="445">
        <f>SUM(C61:C67)</f>
        <v>1109000</v>
      </c>
      <c r="D68" s="445">
        <f>SUM(D61:D67)</f>
        <v>0</v>
      </c>
      <c r="E68" s="445">
        <f>SUM(E61:E67)</f>
        <v>0</v>
      </c>
      <c r="F68" s="445">
        <f>SUM(F61:F67)</f>
        <v>1109000</v>
      </c>
    </row>
  </sheetData>
  <mergeCells count="20">
    <mergeCell ref="B12:B13"/>
    <mergeCell ref="C12:C13"/>
    <mergeCell ref="D12:D13"/>
    <mergeCell ref="C16:C17"/>
    <mergeCell ref="B59:F59"/>
    <mergeCell ref="B48:F48"/>
    <mergeCell ref="B14:B17"/>
    <mergeCell ref="D14:D17"/>
    <mergeCell ref="B19:B21"/>
    <mergeCell ref="D19:D21"/>
    <mergeCell ref="E12:F12"/>
    <mergeCell ref="B3:F3"/>
    <mergeCell ref="B4:F4"/>
    <mergeCell ref="D7:D9"/>
    <mergeCell ref="B11:F11"/>
    <mergeCell ref="B7:B9"/>
    <mergeCell ref="B5:B6"/>
    <mergeCell ref="C5:C6"/>
    <mergeCell ref="D5:D6"/>
    <mergeCell ref="E5:F5"/>
  </mergeCells>
  <phoneticPr fontId="54" type="noConversion"/>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2:AA27"/>
  <sheetViews>
    <sheetView showGridLines="0" zoomScaleSheetLayoutView="75" workbookViewId="0">
      <selection activeCell="X15" sqref="X15:Z21"/>
    </sheetView>
  </sheetViews>
  <sheetFormatPr baseColWidth="10" defaultColWidth="23.6640625" defaultRowHeight="15" x14ac:dyDescent="0.2"/>
  <cols>
    <col min="1" max="1" width="3" style="1" customWidth="1"/>
    <col min="2" max="2" width="27.83203125" style="2" customWidth="1"/>
    <col min="3" max="3" width="11.83203125" style="1" customWidth="1"/>
    <col min="4" max="4" width="12.5" style="1" customWidth="1"/>
    <col min="5" max="5" width="13" style="1" customWidth="1"/>
    <col min="6" max="6" width="12.33203125" style="1" customWidth="1"/>
    <col min="7" max="7" width="12.5" style="1" customWidth="1"/>
    <col min="8" max="8" width="11.33203125" style="1" customWidth="1"/>
    <col min="9" max="9" width="11.83203125" style="1" customWidth="1"/>
    <col min="10" max="10" width="1.83203125" style="11" customWidth="1"/>
    <col min="11" max="11" width="29.5" style="1" customWidth="1"/>
    <col min="12" max="12" width="12.1640625" style="1" customWidth="1"/>
    <col min="13" max="13" width="11.6640625" style="1" customWidth="1"/>
    <col min="14" max="14" width="11.5" style="1" customWidth="1"/>
    <col min="15" max="15" width="10.6640625" style="1" customWidth="1"/>
    <col min="16" max="16" width="1.6640625" style="11" customWidth="1"/>
    <col min="17" max="17" width="29.33203125" style="1" customWidth="1"/>
    <col min="18" max="18" width="14" style="1" customWidth="1"/>
    <col min="19" max="19" width="11.83203125" style="1" customWidth="1"/>
    <col min="20" max="20" width="13" style="1" customWidth="1"/>
    <col min="21" max="21" width="12" style="1" customWidth="1"/>
    <col min="22" max="22" width="2" style="11" customWidth="1"/>
    <col min="23" max="23" width="31.5" style="1" customWidth="1"/>
    <col min="24" max="24" width="11.5" style="1" customWidth="1"/>
    <col min="25" max="25" width="11.1640625" style="1" customWidth="1"/>
    <col min="26" max="26" width="11.83203125" style="1" customWidth="1"/>
    <col min="27" max="27" width="12.33203125" style="1" customWidth="1"/>
    <col min="28" max="16384" width="23.6640625" style="1"/>
  </cols>
  <sheetData>
    <row r="2" spans="2:27" ht="24.75" customHeight="1" x14ac:dyDescent="0.2">
      <c r="B2" s="556" t="s">
        <v>52</v>
      </c>
      <c r="C2" s="556"/>
      <c r="D2" s="556"/>
      <c r="E2" s="556"/>
      <c r="F2" s="556"/>
      <c r="G2" s="556"/>
      <c r="H2" s="556"/>
      <c r="I2" s="556"/>
      <c r="K2" s="10" t="s">
        <v>2</v>
      </c>
      <c r="Q2" s="10" t="s">
        <v>3</v>
      </c>
      <c r="W2" s="10" t="s">
        <v>17</v>
      </c>
    </row>
    <row r="3" spans="2:27" ht="33" customHeight="1" x14ac:dyDescent="0.2">
      <c r="B3" s="553" t="s">
        <v>30</v>
      </c>
      <c r="C3" s="554"/>
      <c r="D3" s="554"/>
      <c r="E3" s="554"/>
      <c r="F3" s="554"/>
      <c r="G3" s="554"/>
      <c r="H3" s="554"/>
      <c r="I3" s="555"/>
      <c r="J3" s="12"/>
      <c r="K3" s="553" t="s">
        <v>30</v>
      </c>
      <c r="L3" s="554"/>
      <c r="M3" s="554"/>
      <c r="N3" s="554"/>
      <c r="O3" s="554"/>
      <c r="Q3" s="553" t="s">
        <v>30</v>
      </c>
      <c r="R3" s="554"/>
      <c r="S3" s="554"/>
      <c r="T3" s="554"/>
      <c r="U3" s="554"/>
      <c r="W3" s="553" t="s">
        <v>30</v>
      </c>
      <c r="X3" s="554"/>
      <c r="Y3" s="554"/>
      <c r="Z3" s="554"/>
      <c r="AA3" s="554"/>
    </row>
    <row r="4" spans="2:27" ht="20.25" customHeight="1" x14ac:dyDescent="0.2">
      <c r="B4" s="51" t="s">
        <v>31</v>
      </c>
      <c r="C4" s="51">
        <v>2018</v>
      </c>
      <c r="D4" s="51">
        <v>2019</v>
      </c>
      <c r="E4" s="51">
        <v>2020</v>
      </c>
      <c r="F4" s="51" t="s">
        <v>1</v>
      </c>
      <c r="G4" s="52" t="s">
        <v>2</v>
      </c>
      <c r="H4" s="53" t="s">
        <v>3</v>
      </c>
      <c r="I4" s="98" t="s">
        <v>4</v>
      </c>
      <c r="J4" s="13"/>
      <c r="K4" s="99" t="s">
        <v>31</v>
      </c>
      <c r="L4" s="51">
        <v>2018</v>
      </c>
      <c r="M4" s="51">
        <v>2019</v>
      </c>
      <c r="N4" s="51">
        <v>2020</v>
      </c>
      <c r="O4" s="51" t="s">
        <v>1</v>
      </c>
      <c r="Q4" s="99" t="s">
        <v>31</v>
      </c>
      <c r="R4" s="51">
        <v>2018</v>
      </c>
      <c r="S4" s="51">
        <v>2019</v>
      </c>
      <c r="T4" s="51">
        <v>2020</v>
      </c>
      <c r="U4" s="51" t="s">
        <v>1</v>
      </c>
      <c r="W4" s="99" t="s">
        <v>31</v>
      </c>
      <c r="X4" s="51">
        <v>2018</v>
      </c>
      <c r="Y4" s="51">
        <v>2019</v>
      </c>
      <c r="Z4" s="51">
        <v>2020</v>
      </c>
      <c r="AA4" s="51" t="s">
        <v>1</v>
      </c>
    </row>
    <row r="5" spans="2:27" ht="25" customHeight="1" x14ac:dyDescent="0.2">
      <c r="B5" s="48" t="s">
        <v>32</v>
      </c>
      <c r="C5" s="100">
        <f t="shared" ref="C5:E11" si="0">L5+R5+X5</f>
        <v>0</v>
      </c>
      <c r="D5" s="100">
        <f t="shared" si="0"/>
        <v>0</v>
      </c>
      <c r="E5" s="100">
        <f t="shared" si="0"/>
        <v>0</v>
      </c>
      <c r="F5" s="58">
        <f>SUM(C5:E5)</f>
        <v>0</v>
      </c>
      <c r="G5" s="55">
        <f>O5</f>
        <v>0</v>
      </c>
      <c r="H5" s="55">
        <f>U5</f>
        <v>0</v>
      </c>
      <c r="I5" s="55">
        <f>AA5</f>
        <v>0</v>
      </c>
      <c r="J5" s="13"/>
      <c r="K5" s="101" t="s">
        <v>32</v>
      </c>
      <c r="L5" s="102"/>
      <c r="M5" s="102"/>
      <c r="N5" s="102"/>
      <c r="O5" s="58">
        <f>SUM(L5:N5)</f>
        <v>0</v>
      </c>
      <c r="Q5" s="101" t="s">
        <v>32</v>
      </c>
      <c r="R5" s="102"/>
      <c r="S5" s="102"/>
      <c r="T5" s="102"/>
      <c r="U5" s="58">
        <f>SUM(R5:T5)</f>
        <v>0</v>
      </c>
      <c r="W5" s="101" t="s">
        <v>32</v>
      </c>
      <c r="X5" s="102"/>
      <c r="Y5" s="102"/>
      <c r="Z5" s="102"/>
      <c r="AA5" s="58">
        <f>SUM(X5:Z5)</f>
        <v>0</v>
      </c>
    </row>
    <row r="6" spans="2:27" ht="25" customHeight="1" x14ac:dyDescent="0.2">
      <c r="B6" s="48" t="s">
        <v>33</v>
      </c>
      <c r="C6" s="100">
        <f t="shared" si="0"/>
        <v>0</v>
      </c>
      <c r="D6" s="100">
        <f t="shared" si="0"/>
        <v>0</v>
      </c>
      <c r="E6" s="100">
        <f t="shared" si="0"/>
        <v>0</v>
      </c>
      <c r="F6" s="58">
        <f t="shared" ref="F6:F11" si="1">SUM(C6:E6)</f>
        <v>0</v>
      </c>
      <c r="G6" s="55">
        <f t="shared" ref="G6:G11" si="2">O6</f>
        <v>0</v>
      </c>
      <c r="H6" s="55">
        <f t="shared" ref="H6:H11" si="3">U6</f>
        <v>0</v>
      </c>
      <c r="I6" s="55">
        <f t="shared" ref="I6:I11" si="4">AA6</f>
        <v>0</v>
      </c>
      <c r="J6" s="13"/>
      <c r="K6" s="101" t="s">
        <v>33</v>
      </c>
      <c r="L6" s="102"/>
      <c r="M6" s="102"/>
      <c r="N6" s="102"/>
      <c r="O6" s="58">
        <f t="shared" ref="O6:O11" si="5">SUM(L6:N6)</f>
        <v>0</v>
      </c>
      <c r="Q6" s="101" t="s">
        <v>33</v>
      </c>
      <c r="R6" s="102"/>
      <c r="S6" s="102"/>
      <c r="T6" s="102"/>
      <c r="U6" s="58">
        <f t="shared" ref="U6:U11" si="6">SUM(R6:T6)</f>
        <v>0</v>
      </c>
      <c r="W6" s="101" t="s">
        <v>33</v>
      </c>
      <c r="X6" s="102"/>
      <c r="Y6" s="102"/>
      <c r="Z6" s="102"/>
      <c r="AA6" s="58">
        <f t="shared" ref="AA6:AA11" si="7">SUM(X6:Z6)</f>
        <v>0</v>
      </c>
    </row>
    <row r="7" spans="2:27" ht="25" customHeight="1" x14ac:dyDescent="0.2">
      <c r="B7" s="49" t="s">
        <v>34</v>
      </c>
      <c r="C7" s="100">
        <f t="shared" si="0"/>
        <v>0</v>
      </c>
      <c r="D7" s="100">
        <f t="shared" si="0"/>
        <v>0</v>
      </c>
      <c r="E7" s="100">
        <f t="shared" si="0"/>
        <v>0</v>
      </c>
      <c r="F7" s="58">
        <f t="shared" si="1"/>
        <v>0</v>
      </c>
      <c r="G7" s="55">
        <f t="shared" si="2"/>
        <v>0</v>
      </c>
      <c r="H7" s="55">
        <f t="shared" si="3"/>
        <v>0</v>
      </c>
      <c r="I7" s="55">
        <f t="shared" si="4"/>
        <v>0</v>
      </c>
      <c r="J7" s="13"/>
      <c r="K7" s="103" t="s">
        <v>34</v>
      </c>
      <c r="L7" s="102"/>
      <c r="M7" s="102"/>
      <c r="N7" s="102"/>
      <c r="O7" s="58">
        <f t="shared" si="5"/>
        <v>0</v>
      </c>
      <c r="Q7" s="103" t="s">
        <v>34</v>
      </c>
      <c r="R7" s="102"/>
      <c r="S7" s="102"/>
      <c r="T7" s="102"/>
      <c r="U7" s="58">
        <f t="shared" si="6"/>
        <v>0</v>
      </c>
      <c r="W7" s="103" t="s">
        <v>34</v>
      </c>
      <c r="X7" s="102"/>
      <c r="Y7" s="102"/>
      <c r="Z7" s="102"/>
      <c r="AA7" s="58">
        <f t="shared" si="7"/>
        <v>0</v>
      </c>
    </row>
    <row r="8" spans="2:27" ht="25" customHeight="1" x14ac:dyDescent="0.2">
      <c r="B8" s="48" t="s">
        <v>35</v>
      </c>
      <c r="C8" s="100">
        <f t="shared" si="0"/>
        <v>0</v>
      </c>
      <c r="D8" s="100">
        <f t="shared" si="0"/>
        <v>0</v>
      </c>
      <c r="E8" s="100">
        <f t="shared" si="0"/>
        <v>0</v>
      </c>
      <c r="F8" s="58">
        <f t="shared" si="1"/>
        <v>0</v>
      </c>
      <c r="G8" s="55">
        <f t="shared" si="2"/>
        <v>0</v>
      </c>
      <c r="H8" s="55">
        <f t="shared" si="3"/>
        <v>0</v>
      </c>
      <c r="I8" s="55">
        <f t="shared" si="4"/>
        <v>0</v>
      </c>
      <c r="J8" s="13"/>
      <c r="K8" s="101" t="s">
        <v>35</v>
      </c>
      <c r="L8" s="102"/>
      <c r="M8" s="102"/>
      <c r="N8" s="102"/>
      <c r="O8" s="58">
        <f t="shared" si="5"/>
        <v>0</v>
      </c>
      <c r="Q8" s="101" t="s">
        <v>35</v>
      </c>
      <c r="R8" s="102"/>
      <c r="S8" s="102"/>
      <c r="T8" s="102"/>
      <c r="U8" s="58">
        <f t="shared" si="6"/>
        <v>0</v>
      </c>
      <c r="W8" s="101" t="s">
        <v>35</v>
      </c>
      <c r="X8" s="102"/>
      <c r="Y8" s="102"/>
      <c r="Z8" s="102"/>
      <c r="AA8" s="58">
        <f t="shared" si="7"/>
        <v>0</v>
      </c>
    </row>
    <row r="9" spans="2:27" ht="25" customHeight="1" x14ac:dyDescent="0.2">
      <c r="B9" s="48" t="s">
        <v>36</v>
      </c>
      <c r="C9" s="100">
        <f t="shared" si="0"/>
        <v>0</v>
      </c>
      <c r="D9" s="100">
        <f t="shared" si="0"/>
        <v>0</v>
      </c>
      <c r="E9" s="100">
        <f t="shared" si="0"/>
        <v>0</v>
      </c>
      <c r="F9" s="58">
        <f t="shared" si="1"/>
        <v>0</v>
      </c>
      <c r="G9" s="55">
        <f t="shared" si="2"/>
        <v>0</v>
      </c>
      <c r="H9" s="55">
        <f t="shared" si="3"/>
        <v>0</v>
      </c>
      <c r="I9" s="55">
        <f t="shared" si="4"/>
        <v>0</v>
      </c>
      <c r="J9" s="13"/>
      <c r="K9" s="101" t="s">
        <v>36</v>
      </c>
      <c r="L9" s="102"/>
      <c r="M9" s="102"/>
      <c r="N9" s="102"/>
      <c r="O9" s="58">
        <f t="shared" si="5"/>
        <v>0</v>
      </c>
      <c r="Q9" s="101" t="s">
        <v>36</v>
      </c>
      <c r="R9" s="102"/>
      <c r="S9" s="102"/>
      <c r="T9" s="102"/>
      <c r="U9" s="58">
        <f t="shared" si="6"/>
        <v>0</v>
      </c>
      <c r="W9" s="101" t="s">
        <v>36</v>
      </c>
      <c r="X9" s="102"/>
      <c r="Y9" s="102"/>
      <c r="Z9" s="102"/>
      <c r="AA9" s="58">
        <f t="shared" si="7"/>
        <v>0</v>
      </c>
    </row>
    <row r="10" spans="2:27" ht="25" customHeight="1" x14ac:dyDescent="0.2">
      <c r="B10" s="49" t="s">
        <v>53</v>
      </c>
      <c r="C10" s="100">
        <f t="shared" si="0"/>
        <v>0</v>
      </c>
      <c r="D10" s="100">
        <f t="shared" si="0"/>
        <v>0</v>
      </c>
      <c r="E10" s="100">
        <f t="shared" si="0"/>
        <v>0</v>
      </c>
      <c r="F10" s="58">
        <f t="shared" si="1"/>
        <v>0</v>
      </c>
      <c r="G10" s="55">
        <f t="shared" si="2"/>
        <v>0</v>
      </c>
      <c r="H10" s="55">
        <f t="shared" si="3"/>
        <v>0</v>
      </c>
      <c r="I10" s="55">
        <f t="shared" si="4"/>
        <v>0</v>
      </c>
      <c r="J10" s="13"/>
      <c r="K10" s="103" t="s">
        <v>53</v>
      </c>
      <c r="L10" s="102"/>
      <c r="M10" s="102"/>
      <c r="N10" s="102"/>
      <c r="O10" s="58">
        <f t="shared" si="5"/>
        <v>0</v>
      </c>
      <c r="Q10" s="103" t="s">
        <v>53</v>
      </c>
      <c r="R10" s="102"/>
      <c r="S10" s="102"/>
      <c r="T10" s="102"/>
      <c r="U10" s="58">
        <f t="shared" si="6"/>
        <v>0</v>
      </c>
      <c r="W10" s="103" t="s">
        <v>53</v>
      </c>
      <c r="X10" s="102"/>
      <c r="Y10" s="102"/>
      <c r="Z10" s="102"/>
      <c r="AA10" s="58">
        <f t="shared" si="7"/>
        <v>0</v>
      </c>
    </row>
    <row r="11" spans="2:27" ht="25" customHeight="1" x14ac:dyDescent="0.2">
      <c r="B11" s="49" t="s">
        <v>37</v>
      </c>
      <c r="C11" s="100">
        <f t="shared" si="0"/>
        <v>0</v>
      </c>
      <c r="D11" s="100">
        <f t="shared" si="0"/>
        <v>0</v>
      </c>
      <c r="E11" s="100">
        <f t="shared" si="0"/>
        <v>0</v>
      </c>
      <c r="F11" s="58">
        <f t="shared" si="1"/>
        <v>0</v>
      </c>
      <c r="G11" s="55">
        <f t="shared" si="2"/>
        <v>0</v>
      </c>
      <c r="H11" s="55">
        <f t="shared" si="3"/>
        <v>0</v>
      </c>
      <c r="I11" s="55">
        <f t="shared" si="4"/>
        <v>0</v>
      </c>
      <c r="J11" s="13"/>
      <c r="K11" s="103" t="s">
        <v>37</v>
      </c>
      <c r="L11" s="102"/>
      <c r="M11" s="102"/>
      <c r="N11" s="102"/>
      <c r="O11" s="58">
        <f t="shared" si="5"/>
        <v>0</v>
      </c>
      <c r="Q11" s="103" t="s">
        <v>37</v>
      </c>
      <c r="R11" s="102"/>
      <c r="S11" s="102"/>
      <c r="T11" s="102"/>
      <c r="U11" s="58">
        <f t="shared" si="6"/>
        <v>0</v>
      </c>
      <c r="W11" s="103" t="s">
        <v>37</v>
      </c>
      <c r="X11" s="102"/>
      <c r="Y11" s="102"/>
      <c r="Z11" s="102"/>
      <c r="AA11" s="58">
        <f t="shared" si="7"/>
        <v>0</v>
      </c>
    </row>
    <row r="12" spans="2:27" ht="20.25" customHeight="1" x14ac:dyDescent="0.2">
      <c r="B12" s="56" t="s">
        <v>38</v>
      </c>
      <c r="C12" s="104">
        <f t="shared" ref="C12:I12" si="8">SUM(C5:C11)</f>
        <v>0</v>
      </c>
      <c r="D12" s="104">
        <f t="shared" si="8"/>
        <v>0</v>
      </c>
      <c r="E12" s="104">
        <f t="shared" si="8"/>
        <v>0</v>
      </c>
      <c r="F12" s="104">
        <f t="shared" si="8"/>
        <v>0</v>
      </c>
      <c r="G12" s="105">
        <f t="shared" si="8"/>
        <v>0</v>
      </c>
      <c r="H12" s="105">
        <f t="shared" si="8"/>
        <v>0</v>
      </c>
      <c r="I12" s="105">
        <f t="shared" si="8"/>
        <v>0</v>
      </c>
      <c r="K12" s="106" t="s">
        <v>38</v>
      </c>
      <c r="L12" s="104">
        <f>SUM(L5:L11)</f>
        <v>0</v>
      </c>
      <c r="M12" s="104">
        <f>SUM(M5:M11)</f>
        <v>0</v>
      </c>
      <c r="N12" s="104">
        <f>SUM(N5:N11)</f>
        <v>0</v>
      </c>
      <c r="O12" s="104">
        <f>SUM(O5:O11)</f>
        <v>0</v>
      </c>
      <c r="Q12" s="106" t="s">
        <v>38</v>
      </c>
      <c r="R12" s="104">
        <f>SUM(R5:R11)</f>
        <v>0</v>
      </c>
      <c r="S12" s="104">
        <f>SUM(S5:S11)</f>
        <v>0</v>
      </c>
      <c r="T12" s="104">
        <f>SUM(T5:T11)</f>
        <v>0</v>
      </c>
      <c r="U12" s="104">
        <f>SUM(U5:U11)</f>
        <v>0</v>
      </c>
      <c r="W12" s="106" t="s">
        <v>38</v>
      </c>
      <c r="X12" s="104">
        <f>SUM(X5:X11)</f>
        <v>0</v>
      </c>
      <c r="Y12" s="104">
        <f>SUM(Y5:Y11)</f>
        <v>0</v>
      </c>
      <c r="Z12" s="104">
        <f>SUM(Z5:Z11)</f>
        <v>0</v>
      </c>
      <c r="AA12" s="104">
        <f>SUM(AA5:AA11)</f>
        <v>0</v>
      </c>
    </row>
    <row r="13" spans="2:27" ht="28.5" customHeight="1" x14ac:dyDescent="0.2">
      <c r="B13" s="553" t="s">
        <v>39</v>
      </c>
      <c r="C13" s="554"/>
      <c r="D13" s="554"/>
      <c r="E13" s="554"/>
      <c r="F13" s="554"/>
      <c r="G13" s="554"/>
      <c r="H13" s="554"/>
      <c r="I13" s="555"/>
      <c r="K13" s="553" t="s">
        <v>39</v>
      </c>
      <c r="L13" s="554"/>
      <c r="M13" s="554"/>
      <c r="N13" s="554"/>
      <c r="O13" s="554"/>
      <c r="Q13" s="553" t="s">
        <v>39</v>
      </c>
      <c r="R13" s="554"/>
      <c r="S13" s="554"/>
      <c r="T13" s="554"/>
      <c r="U13" s="554"/>
      <c r="W13" s="553" t="s">
        <v>39</v>
      </c>
      <c r="X13" s="554"/>
      <c r="Y13" s="554"/>
      <c r="Z13" s="554"/>
      <c r="AA13" s="554"/>
    </row>
    <row r="14" spans="2:27" ht="20.25" customHeight="1" x14ac:dyDescent="0.2">
      <c r="B14" s="51" t="s">
        <v>31</v>
      </c>
      <c r="C14" s="51">
        <v>2018</v>
      </c>
      <c r="D14" s="51">
        <v>2019</v>
      </c>
      <c r="E14" s="51">
        <v>2020</v>
      </c>
      <c r="F14" s="9" t="s">
        <v>1</v>
      </c>
      <c r="G14" s="52" t="s">
        <v>2</v>
      </c>
      <c r="H14" s="53" t="s">
        <v>3</v>
      </c>
      <c r="I14" s="98" t="s">
        <v>4</v>
      </c>
      <c r="K14" s="99" t="s">
        <v>31</v>
      </c>
      <c r="L14" s="51">
        <v>2018</v>
      </c>
      <c r="M14" s="51">
        <v>2019</v>
      </c>
      <c r="N14" s="51">
        <v>2020</v>
      </c>
      <c r="O14" s="9" t="s">
        <v>1</v>
      </c>
      <c r="Q14" s="99" t="s">
        <v>31</v>
      </c>
      <c r="R14" s="51">
        <v>2018</v>
      </c>
      <c r="S14" s="51">
        <v>2019</v>
      </c>
      <c r="T14" s="51">
        <v>2020</v>
      </c>
      <c r="U14" s="9" t="s">
        <v>1</v>
      </c>
      <c r="W14" s="99" t="s">
        <v>31</v>
      </c>
      <c r="X14" s="51">
        <v>2018</v>
      </c>
      <c r="Y14" s="51">
        <v>2019</v>
      </c>
      <c r="Z14" s="51">
        <v>2020</v>
      </c>
      <c r="AA14" s="9" t="s">
        <v>1</v>
      </c>
    </row>
    <row r="15" spans="2:27" ht="25" customHeight="1" x14ac:dyDescent="0.2">
      <c r="B15" s="48" t="s">
        <v>32</v>
      </c>
      <c r="C15" s="100">
        <f t="shared" ref="C15:E21" si="9">L15+R15+X15</f>
        <v>0</v>
      </c>
      <c r="D15" s="100">
        <f t="shared" si="9"/>
        <v>0</v>
      </c>
      <c r="E15" s="100">
        <f t="shared" si="9"/>
        <v>0</v>
      </c>
      <c r="F15" s="58">
        <f>SUM(C15:E15)</f>
        <v>0</v>
      </c>
      <c r="G15" s="107">
        <f>O15</f>
        <v>0</v>
      </c>
      <c r="H15" s="107">
        <f>U15</f>
        <v>0</v>
      </c>
      <c r="I15" s="107">
        <f>AA15</f>
        <v>0</v>
      </c>
      <c r="K15" s="101" t="s">
        <v>32</v>
      </c>
      <c r="L15" s="102"/>
      <c r="M15" s="102"/>
      <c r="N15" s="102"/>
      <c r="O15" s="58">
        <f>SUM(L15:N15)</f>
        <v>0</v>
      </c>
      <c r="Q15" s="101" t="s">
        <v>32</v>
      </c>
      <c r="R15" s="102"/>
      <c r="S15" s="102"/>
      <c r="T15" s="102"/>
      <c r="U15" s="58">
        <f>SUM(R15:T15)</f>
        <v>0</v>
      </c>
      <c r="W15" s="101" t="s">
        <v>32</v>
      </c>
      <c r="X15" s="102"/>
      <c r="Y15" s="102"/>
      <c r="Z15" s="102"/>
      <c r="AA15" s="58">
        <f>SUM(X15:Z15)</f>
        <v>0</v>
      </c>
    </row>
    <row r="16" spans="2:27" ht="25" customHeight="1" x14ac:dyDescent="0.2">
      <c r="B16" s="48" t="s">
        <v>33</v>
      </c>
      <c r="C16" s="100">
        <f t="shared" si="9"/>
        <v>0</v>
      </c>
      <c r="D16" s="100">
        <f t="shared" si="9"/>
        <v>0</v>
      </c>
      <c r="E16" s="100">
        <f t="shared" si="9"/>
        <v>0</v>
      </c>
      <c r="F16" s="58">
        <f t="shared" ref="F16:F21" si="10">SUM(C16:E16)</f>
        <v>0</v>
      </c>
      <c r="G16" s="107">
        <f t="shared" ref="G16:G21" si="11">O16</f>
        <v>0</v>
      </c>
      <c r="H16" s="107">
        <f t="shared" ref="H16:H21" si="12">U16</f>
        <v>0</v>
      </c>
      <c r="I16" s="107">
        <f t="shared" ref="I16:I21" si="13">AA16</f>
        <v>0</v>
      </c>
      <c r="K16" s="101" t="s">
        <v>33</v>
      </c>
      <c r="L16" s="102"/>
      <c r="M16" s="102"/>
      <c r="N16" s="102"/>
      <c r="O16" s="58">
        <f t="shared" ref="O16:O21" si="14">SUM(L16:N16)</f>
        <v>0</v>
      </c>
      <c r="Q16" s="101" t="s">
        <v>33</v>
      </c>
      <c r="R16" s="102"/>
      <c r="S16" s="102"/>
      <c r="T16" s="102"/>
      <c r="U16" s="58">
        <f t="shared" ref="U16:U21" si="15">SUM(R16:T16)</f>
        <v>0</v>
      </c>
      <c r="W16" s="101" t="s">
        <v>33</v>
      </c>
      <c r="X16" s="102"/>
      <c r="Y16" s="102"/>
      <c r="Z16" s="102"/>
      <c r="AA16" s="58">
        <f t="shared" ref="AA16:AA21" si="16">SUM(X16:Z16)</f>
        <v>0</v>
      </c>
    </row>
    <row r="17" spans="2:27" ht="25" customHeight="1" x14ac:dyDescent="0.2">
      <c r="B17" s="49" t="s">
        <v>34</v>
      </c>
      <c r="C17" s="100">
        <f t="shared" si="9"/>
        <v>0</v>
      </c>
      <c r="D17" s="100">
        <f t="shared" si="9"/>
        <v>0</v>
      </c>
      <c r="E17" s="100">
        <f t="shared" si="9"/>
        <v>0</v>
      </c>
      <c r="F17" s="58">
        <f t="shared" si="10"/>
        <v>0</v>
      </c>
      <c r="G17" s="107">
        <f t="shared" si="11"/>
        <v>0</v>
      </c>
      <c r="H17" s="107">
        <f t="shared" si="12"/>
        <v>0</v>
      </c>
      <c r="I17" s="107">
        <f t="shared" si="13"/>
        <v>0</v>
      </c>
      <c r="K17" s="103" t="s">
        <v>34</v>
      </c>
      <c r="L17" s="102"/>
      <c r="M17" s="102"/>
      <c r="N17" s="102"/>
      <c r="O17" s="58">
        <f t="shared" si="14"/>
        <v>0</v>
      </c>
      <c r="Q17" s="103" t="s">
        <v>34</v>
      </c>
      <c r="R17" s="102"/>
      <c r="S17" s="102"/>
      <c r="T17" s="102"/>
      <c r="U17" s="58">
        <f t="shared" si="15"/>
        <v>0</v>
      </c>
      <c r="W17" s="103" t="s">
        <v>34</v>
      </c>
      <c r="X17" s="102"/>
      <c r="Y17" s="102"/>
      <c r="Z17" s="102"/>
      <c r="AA17" s="58">
        <f t="shared" si="16"/>
        <v>0</v>
      </c>
    </row>
    <row r="18" spans="2:27" ht="25" customHeight="1" x14ac:dyDescent="0.2">
      <c r="B18" s="48" t="s">
        <v>35</v>
      </c>
      <c r="C18" s="100">
        <f t="shared" si="9"/>
        <v>0</v>
      </c>
      <c r="D18" s="100">
        <f t="shared" si="9"/>
        <v>0</v>
      </c>
      <c r="E18" s="100">
        <f t="shared" si="9"/>
        <v>0</v>
      </c>
      <c r="F18" s="58">
        <f t="shared" si="10"/>
        <v>0</v>
      </c>
      <c r="G18" s="107">
        <f t="shared" si="11"/>
        <v>0</v>
      </c>
      <c r="H18" s="107">
        <f t="shared" si="12"/>
        <v>0</v>
      </c>
      <c r="I18" s="107">
        <f t="shared" si="13"/>
        <v>0</v>
      </c>
      <c r="K18" s="101" t="s">
        <v>35</v>
      </c>
      <c r="L18" s="102"/>
      <c r="M18" s="102"/>
      <c r="N18" s="102"/>
      <c r="O18" s="58">
        <f t="shared" si="14"/>
        <v>0</v>
      </c>
      <c r="Q18" s="101" t="s">
        <v>35</v>
      </c>
      <c r="R18" s="102"/>
      <c r="S18" s="102"/>
      <c r="T18" s="102"/>
      <c r="U18" s="58">
        <f t="shared" si="15"/>
        <v>0</v>
      </c>
      <c r="W18" s="101" t="s">
        <v>35</v>
      </c>
      <c r="X18" s="102"/>
      <c r="Y18" s="102"/>
      <c r="Z18" s="102"/>
      <c r="AA18" s="58">
        <f t="shared" si="16"/>
        <v>0</v>
      </c>
    </row>
    <row r="19" spans="2:27" ht="25" customHeight="1" x14ac:dyDescent="0.2">
      <c r="B19" s="48" t="s">
        <v>36</v>
      </c>
      <c r="C19" s="100">
        <f t="shared" si="9"/>
        <v>0</v>
      </c>
      <c r="D19" s="100">
        <f t="shared" si="9"/>
        <v>0</v>
      </c>
      <c r="E19" s="100">
        <f t="shared" si="9"/>
        <v>0</v>
      </c>
      <c r="F19" s="58">
        <f t="shared" si="10"/>
        <v>0</v>
      </c>
      <c r="G19" s="107">
        <f t="shared" si="11"/>
        <v>0</v>
      </c>
      <c r="H19" s="107">
        <f t="shared" si="12"/>
        <v>0</v>
      </c>
      <c r="I19" s="107">
        <f t="shared" si="13"/>
        <v>0</v>
      </c>
      <c r="K19" s="101" t="s">
        <v>36</v>
      </c>
      <c r="L19" s="102"/>
      <c r="M19" s="102"/>
      <c r="N19" s="102"/>
      <c r="O19" s="58">
        <f t="shared" si="14"/>
        <v>0</v>
      </c>
      <c r="Q19" s="101" t="s">
        <v>36</v>
      </c>
      <c r="R19" s="102"/>
      <c r="S19" s="102"/>
      <c r="T19" s="102"/>
      <c r="U19" s="58">
        <f t="shared" si="15"/>
        <v>0</v>
      </c>
      <c r="W19" s="101" t="s">
        <v>36</v>
      </c>
      <c r="X19" s="102"/>
      <c r="Y19" s="102"/>
      <c r="Z19" s="102"/>
      <c r="AA19" s="58">
        <f t="shared" si="16"/>
        <v>0</v>
      </c>
    </row>
    <row r="20" spans="2:27" ht="25" customHeight="1" x14ac:dyDescent="0.2">
      <c r="B20" s="49" t="s">
        <v>53</v>
      </c>
      <c r="C20" s="100">
        <f t="shared" si="9"/>
        <v>0</v>
      </c>
      <c r="D20" s="100">
        <f t="shared" si="9"/>
        <v>0</v>
      </c>
      <c r="E20" s="100">
        <f t="shared" si="9"/>
        <v>0</v>
      </c>
      <c r="F20" s="58">
        <f t="shared" si="10"/>
        <v>0</v>
      </c>
      <c r="G20" s="107">
        <f t="shared" si="11"/>
        <v>0</v>
      </c>
      <c r="H20" s="107">
        <f t="shared" si="12"/>
        <v>0</v>
      </c>
      <c r="I20" s="107">
        <f t="shared" si="13"/>
        <v>0</v>
      </c>
      <c r="K20" s="103" t="s">
        <v>53</v>
      </c>
      <c r="L20" s="102"/>
      <c r="M20" s="102"/>
      <c r="N20" s="102"/>
      <c r="O20" s="58">
        <f t="shared" si="14"/>
        <v>0</v>
      </c>
      <c r="Q20" s="103" t="s">
        <v>53</v>
      </c>
      <c r="R20" s="102"/>
      <c r="S20" s="102"/>
      <c r="T20" s="102"/>
      <c r="U20" s="58">
        <f t="shared" si="15"/>
        <v>0</v>
      </c>
      <c r="W20" s="103" t="s">
        <v>53</v>
      </c>
      <c r="X20" s="102"/>
      <c r="Y20" s="102"/>
      <c r="Z20" s="102"/>
      <c r="AA20" s="58">
        <f t="shared" si="16"/>
        <v>0</v>
      </c>
    </row>
    <row r="21" spans="2:27" ht="25" customHeight="1" x14ac:dyDescent="0.2">
      <c r="B21" s="49" t="s">
        <v>37</v>
      </c>
      <c r="C21" s="100">
        <f t="shared" si="9"/>
        <v>0</v>
      </c>
      <c r="D21" s="100">
        <f t="shared" si="9"/>
        <v>0</v>
      </c>
      <c r="E21" s="100">
        <f t="shared" si="9"/>
        <v>0</v>
      </c>
      <c r="F21" s="58">
        <f t="shared" si="10"/>
        <v>0</v>
      </c>
      <c r="G21" s="107">
        <f t="shared" si="11"/>
        <v>0</v>
      </c>
      <c r="H21" s="107">
        <f t="shared" si="12"/>
        <v>0</v>
      </c>
      <c r="I21" s="107">
        <f t="shared" si="13"/>
        <v>0</v>
      </c>
      <c r="K21" s="103" t="s">
        <v>37</v>
      </c>
      <c r="L21" s="102"/>
      <c r="M21" s="102"/>
      <c r="N21" s="102"/>
      <c r="O21" s="58">
        <f t="shared" si="14"/>
        <v>0</v>
      </c>
      <c r="Q21" s="103" t="s">
        <v>37</v>
      </c>
      <c r="R21" s="102"/>
      <c r="S21" s="102"/>
      <c r="T21" s="102"/>
      <c r="U21" s="58">
        <f t="shared" si="15"/>
        <v>0</v>
      </c>
      <c r="W21" s="103" t="s">
        <v>37</v>
      </c>
      <c r="X21" s="102"/>
      <c r="Y21" s="102"/>
      <c r="Z21" s="102"/>
      <c r="AA21" s="58">
        <f t="shared" si="16"/>
        <v>0</v>
      </c>
    </row>
    <row r="22" spans="2:27" ht="20.25" customHeight="1" x14ac:dyDescent="0.2">
      <c r="B22" s="60" t="s">
        <v>38</v>
      </c>
      <c r="C22" s="60">
        <f t="shared" ref="C22:I22" si="17">SUM(C15:C21)</f>
        <v>0</v>
      </c>
      <c r="D22" s="60">
        <f t="shared" si="17"/>
        <v>0</v>
      </c>
      <c r="E22" s="60">
        <f t="shared" si="17"/>
        <v>0</v>
      </c>
      <c r="F22" s="60">
        <f t="shared" si="17"/>
        <v>0</v>
      </c>
      <c r="G22" s="108">
        <f t="shared" si="17"/>
        <v>0</v>
      </c>
      <c r="H22" s="108">
        <f t="shared" si="17"/>
        <v>0</v>
      </c>
      <c r="I22" s="108">
        <f t="shared" si="17"/>
        <v>0</v>
      </c>
      <c r="K22" s="109" t="s">
        <v>38</v>
      </c>
      <c r="L22" s="60">
        <f>SUM(L15:L21)</f>
        <v>0</v>
      </c>
      <c r="M22" s="60">
        <f>SUM(M15:M21)</f>
        <v>0</v>
      </c>
      <c r="N22" s="60">
        <f>SUM(N15:N21)</f>
        <v>0</v>
      </c>
      <c r="O22" s="60">
        <f>SUM(O15:O21)</f>
        <v>0</v>
      </c>
      <c r="Q22" s="109" t="s">
        <v>38</v>
      </c>
      <c r="R22" s="60">
        <f>SUM(R15:R21)</f>
        <v>0</v>
      </c>
      <c r="S22" s="60">
        <f>SUM(S15:S21)</f>
        <v>0</v>
      </c>
      <c r="T22" s="60">
        <f>SUM(T15:T21)</f>
        <v>0</v>
      </c>
      <c r="U22" s="60">
        <f>SUM(U15:U21)</f>
        <v>0</v>
      </c>
      <c r="W22" s="109" t="s">
        <v>38</v>
      </c>
      <c r="X22" s="60">
        <f>SUM(X15:X21)</f>
        <v>0</v>
      </c>
      <c r="Y22" s="60">
        <f>SUM(Y15:Y21)</f>
        <v>0</v>
      </c>
      <c r="Z22" s="60">
        <f>SUM(Z15:Z21)</f>
        <v>0</v>
      </c>
      <c r="AA22" s="60">
        <f>SUM(AA15:AA21)</f>
        <v>0</v>
      </c>
    </row>
    <row r="23" spans="2:27" ht="20.25" customHeight="1" x14ac:dyDescent="0.2">
      <c r="B23" s="62" t="s">
        <v>40</v>
      </c>
      <c r="C23" s="63">
        <f t="shared" ref="C23:I23" si="18">C22+C12</f>
        <v>0</v>
      </c>
      <c r="D23" s="63">
        <f t="shared" si="18"/>
        <v>0</v>
      </c>
      <c r="E23" s="63">
        <f t="shared" si="18"/>
        <v>0</v>
      </c>
      <c r="F23" s="63">
        <f t="shared" si="18"/>
        <v>0</v>
      </c>
      <c r="G23" s="107">
        <f t="shared" si="18"/>
        <v>0</v>
      </c>
      <c r="H23" s="107">
        <f t="shared" si="18"/>
        <v>0</v>
      </c>
      <c r="I23" s="107">
        <f t="shared" si="18"/>
        <v>0</v>
      </c>
      <c r="K23" s="110" t="s">
        <v>40</v>
      </c>
      <c r="L23" s="63">
        <f>L22+L12</f>
        <v>0</v>
      </c>
      <c r="M23" s="63">
        <f>M22+M12</f>
        <v>0</v>
      </c>
      <c r="N23" s="63">
        <f>N22+N12</f>
        <v>0</v>
      </c>
      <c r="O23" s="63">
        <f>O22+O12</f>
        <v>0</v>
      </c>
      <c r="Q23" s="110" t="s">
        <v>40</v>
      </c>
      <c r="R23" s="63">
        <f>R22+R12</f>
        <v>0</v>
      </c>
      <c r="S23" s="63">
        <f>S22+S12</f>
        <v>0</v>
      </c>
      <c r="T23" s="63">
        <f>T22+T12</f>
        <v>0</v>
      </c>
      <c r="U23" s="63">
        <f>U22+U12</f>
        <v>0</v>
      </c>
      <c r="W23" s="110" t="s">
        <v>40</v>
      </c>
      <c r="X23" s="63">
        <f>X12+X22</f>
        <v>0</v>
      </c>
      <c r="Y23" s="63">
        <f>Y12+Y22</f>
        <v>0</v>
      </c>
      <c r="Z23" s="63">
        <f>Z12+Z22</f>
        <v>0</v>
      </c>
      <c r="AA23" s="63">
        <f>AA12+AA22</f>
        <v>0</v>
      </c>
    </row>
    <row r="24" spans="2:27" ht="20.25" customHeight="1" x14ac:dyDescent="0.2">
      <c r="B24" s="62" t="s">
        <v>41</v>
      </c>
      <c r="C24" s="63">
        <f t="shared" ref="C24:I24" si="19">0.07*C23</f>
        <v>0</v>
      </c>
      <c r="D24" s="63">
        <f t="shared" si="19"/>
        <v>0</v>
      </c>
      <c r="E24" s="63">
        <f t="shared" si="19"/>
        <v>0</v>
      </c>
      <c r="F24" s="63">
        <f t="shared" si="19"/>
        <v>0</v>
      </c>
      <c r="G24" s="107">
        <f t="shared" si="19"/>
        <v>0</v>
      </c>
      <c r="H24" s="107">
        <f t="shared" si="19"/>
        <v>0</v>
      </c>
      <c r="I24" s="107">
        <f t="shared" si="19"/>
        <v>0</v>
      </c>
      <c r="K24" s="110" t="s">
        <v>41</v>
      </c>
      <c r="L24" s="63">
        <f>0.07*L23</f>
        <v>0</v>
      </c>
      <c r="M24" s="63">
        <f>0.07*M23</f>
        <v>0</v>
      </c>
      <c r="N24" s="63">
        <f>0.07*N23</f>
        <v>0</v>
      </c>
      <c r="O24" s="63">
        <f>0.07*O23</f>
        <v>0</v>
      </c>
      <c r="Q24" s="110" t="s">
        <v>41</v>
      </c>
      <c r="R24" s="63">
        <f>0.07*R23</f>
        <v>0</v>
      </c>
      <c r="S24" s="63">
        <f>0.07*S23</f>
        <v>0</v>
      </c>
      <c r="T24" s="63">
        <f>0.07*T23</f>
        <v>0</v>
      </c>
      <c r="U24" s="63">
        <f>0.07*U23</f>
        <v>0</v>
      </c>
      <c r="W24" s="110" t="s">
        <v>41</v>
      </c>
      <c r="X24" s="63">
        <f>0.07*X23</f>
        <v>0</v>
      </c>
      <c r="Y24" s="63">
        <f>0.07*Y23</f>
        <v>0</v>
      </c>
      <c r="Z24" s="63">
        <f>0.07*Z23</f>
        <v>0</v>
      </c>
      <c r="AA24" s="63">
        <f>0.07*AA23</f>
        <v>0</v>
      </c>
    </row>
    <row r="25" spans="2:27" ht="20.25" customHeight="1" x14ac:dyDescent="0.2">
      <c r="B25" s="64" t="s">
        <v>42</v>
      </c>
      <c r="C25" s="111">
        <f>C23+C24</f>
        <v>0</v>
      </c>
      <c r="D25" s="111">
        <f>D23+D24</f>
        <v>0</v>
      </c>
      <c r="E25" s="111">
        <f>E23+E24</f>
        <v>0</v>
      </c>
      <c r="F25" s="111">
        <f>F23+F24</f>
        <v>0</v>
      </c>
      <c r="G25" s="112">
        <f>SUM(G23:G24)</f>
        <v>0</v>
      </c>
      <c r="H25" s="112">
        <f>SUM(H23:H24)</f>
        <v>0</v>
      </c>
      <c r="I25" s="112">
        <f>SUM(I23:I24)</f>
        <v>0</v>
      </c>
      <c r="K25" s="113" t="s">
        <v>42</v>
      </c>
      <c r="L25" s="111">
        <f>SUM(L23:L24)</f>
        <v>0</v>
      </c>
      <c r="M25" s="111">
        <f>SUM(M23:M24)</f>
        <v>0</v>
      </c>
      <c r="N25" s="111">
        <f>SUM(N23:N24)</f>
        <v>0</v>
      </c>
      <c r="O25" s="111">
        <f>SUM(O23:O24)</f>
        <v>0</v>
      </c>
      <c r="Q25" s="113" t="s">
        <v>42</v>
      </c>
      <c r="R25" s="111">
        <f>SUM(R23:R24)</f>
        <v>0</v>
      </c>
      <c r="S25" s="111">
        <f>SUM(S23:S24)</f>
        <v>0</v>
      </c>
      <c r="T25" s="111">
        <f>SUM(T23:T24)</f>
        <v>0</v>
      </c>
      <c r="U25" s="111">
        <f>SUM(U23:U24)</f>
        <v>0</v>
      </c>
      <c r="W25" s="113" t="s">
        <v>42</v>
      </c>
      <c r="X25" s="111">
        <f>SUM(X23:X24)</f>
        <v>0</v>
      </c>
      <c r="Y25" s="111">
        <f>SUM(Y23:Y24)</f>
        <v>0</v>
      </c>
      <c r="Z25" s="111">
        <f>SUM(Z23:Z24)</f>
        <v>0</v>
      </c>
      <c r="AA25" s="111">
        <f>SUM(AA23:AA24)</f>
        <v>0</v>
      </c>
    </row>
    <row r="26" spans="2:27" x14ac:dyDescent="0.2">
      <c r="C26" s="8"/>
      <c r="D26" s="8"/>
      <c r="E26" s="8"/>
      <c r="F26" s="8"/>
      <c r="G26" s="7"/>
      <c r="H26" s="7"/>
    </row>
    <row r="27" spans="2:27" x14ac:dyDescent="0.2">
      <c r="C27" s="8"/>
      <c r="D27" s="8"/>
      <c r="E27" s="8"/>
      <c r="F27" s="8"/>
      <c r="G27" s="6"/>
      <c r="H27" s="6"/>
    </row>
  </sheetData>
  <mergeCells count="9">
    <mergeCell ref="B13:I13"/>
    <mergeCell ref="K13:O13"/>
    <mergeCell ref="Q13:U13"/>
    <mergeCell ref="W13:AA13"/>
    <mergeCell ref="B2:I2"/>
    <mergeCell ref="B3:I3"/>
    <mergeCell ref="K3:O3"/>
    <mergeCell ref="Q3:U3"/>
    <mergeCell ref="W3:AA3"/>
  </mergeCells>
  <printOptions horizontalCentered="1"/>
  <pageMargins left="0.23622047244094491" right="0.23622047244094491" top="0.74803149606299213" bottom="0.74803149606299213" header="0.31496062992125984" footer="0.31496062992125984"/>
  <pageSetup paperSize="8" scale="74" fitToHeight="13" orientation="landscape"/>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2:H20"/>
  <sheetViews>
    <sheetView showGridLines="0" zoomScaleSheetLayoutView="75" workbookViewId="0">
      <selection activeCell="H15" sqref="H15"/>
    </sheetView>
  </sheetViews>
  <sheetFormatPr baseColWidth="10" defaultColWidth="23.6640625" defaultRowHeight="15" x14ac:dyDescent="0.2"/>
  <cols>
    <col min="1" max="1" width="2.6640625" style="1" customWidth="1"/>
    <col min="2" max="2" width="46" style="2" customWidth="1"/>
    <col min="3" max="3" width="13.33203125" style="1" customWidth="1"/>
    <col min="4" max="5" width="12.33203125" style="1" customWidth="1"/>
    <col min="6" max="6" width="12.83203125" style="1" customWidth="1"/>
    <col min="7" max="16384" width="23.6640625" style="1"/>
  </cols>
  <sheetData>
    <row r="2" spans="2:8" ht="24.75" customHeight="1" thickBot="1" x14ac:dyDescent="0.25">
      <c r="B2" s="560" t="s">
        <v>54</v>
      </c>
      <c r="C2" s="560"/>
      <c r="D2" s="560"/>
      <c r="E2" s="560"/>
      <c r="F2" s="560"/>
    </row>
    <row r="3" spans="2:8" ht="33" customHeight="1" x14ac:dyDescent="0.2">
      <c r="B3" s="557" t="s">
        <v>30</v>
      </c>
      <c r="C3" s="558"/>
      <c r="D3" s="558"/>
      <c r="E3" s="558"/>
      <c r="F3" s="559"/>
      <c r="G3" s="4"/>
      <c r="H3" s="4"/>
    </row>
    <row r="4" spans="2:8" ht="20.25" customHeight="1" x14ac:dyDescent="0.2">
      <c r="B4" s="51" t="s">
        <v>31</v>
      </c>
      <c r="C4" s="51">
        <v>2018</v>
      </c>
      <c r="D4" s="52" t="s">
        <v>2</v>
      </c>
      <c r="E4" s="53" t="s">
        <v>3</v>
      </c>
      <c r="F4" s="52" t="s">
        <v>4</v>
      </c>
      <c r="G4" s="5"/>
      <c r="H4" s="3"/>
    </row>
    <row r="5" spans="2:8" ht="20.25" customHeight="1" x14ac:dyDescent="0.2">
      <c r="B5" s="48" t="s">
        <v>32</v>
      </c>
      <c r="C5" s="54" t="e">
        <f>'Cote d''Ivoire'!F7+'Rép du Congo'!F7+Zambie!F7+Indonésie!F7+Myanmar!F7+'Viet Nam'!F7+'Approche paysages'!F7+'Régimes fonciers et peuples aut'!F7+SNSF!C22+#REF!+'Gestion connaissances et com.'!F7</f>
        <v>#REF!</v>
      </c>
      <c r="D5" s="55" t="e">
        <f>C5-100000</f>
        <v>#REF!</v>
      </c>
      <c r="E5" s="55"/>
      <c r="F5" s="55">
        <f>[3]Africa!G5+[3]Asia!F5+[3]LAC!F5+'[3]Global Com'!F5</f>
        <v>100000</v>
      </c>
      <c r="G5" s="5"/>
      <c r="H5" s="3"/>
    </row>
    <row r="6" spans="2:8" ht="20.25" customHeight="1" x14ac:dyDescent="0.2">
      <c r="B6" s="48" t="s">
        <v>36</v>
      </c>
      <c r="C6" s="54" t="e">
        <f>'Cote d''Ivoire'!F8+'Rép du Congo'!F9+Zambie!F8+Indonésie!F8+Myanmar!F8+'Viet Nam'!F8+'Approche paysages'!F8+'Régimes fonciers et peuples aut'!F8+SNSF!C23+#REF!+'Gestion connaissances et com.'!F8</f>
        <v>#REF!</v>
      </c>
      <c r="D6" s="55" t="e">
        <f>C6-50000</f>
        <v>#REF!</v>
      </c>
      <c r="E6" s="55"/>
      <c r="F6" s="55">
        <f>[3]Africa!G9+[3]Asia!F9+[3]LAC!F9+'[3]Global Com'!F9</f>
        <v>50000</v>
      </c>
      <c r="G6" s="5"/>
      <c r="H6" s="3"/>
    </row>
    <row r="7" spans="2:8" ht="20.25" customHeight="1" x14ac:dyDescent="0.2">
      <c r="B7" s="49" t="s">
        <v>37</v>
      </c>
      <c r="C7" s="54" t="e">
        <f>'Cote d''Ivoire'!F9+'Rép du Congo'!F10+Zambie!F9+Indonésie!F9+Myanmar!F9+'Viet Nam'!F9+'Approche paysages'!F9+'Régimes fonciers et peuples aut'!F9+SNSF!C24+#REF!+'Gestion connaissances et com.'!F9</f>
        <v>#REF!</v>
      </c>
      <c r="D7" s="55" t="e">
        <f>C7-50000</f>
        <v>#REF!</v>
      </c>
      <c r="E7" s="55"/>
      <c r="F7" s="55">
        <f>[3]Africa!G11+[3]Asia!F11+[3]LAC!F11+'[3]Global Com'!F11</f>
        <v>50000</v>
      </c>
      <c r="G7" s="5"/>
      <c r="H7" s="3"/>
    </row>
    <row r="8" spans="2:8" ht="20.25" customHeight="1" x14ac:dyDescent="0.2">
      <c r="B8" s="56" t="s">
        <v>38</v>
      </c>
      <c r="C8" s="57" t="e">
        <f>SUM(C5:C7)</f>
        <v>#REF!</v>
      </c>
      <c r="D8" s="57" t="e">
        <f>SUM(D5:D7)</f>
        <v>#REF!</v>
      </c>
      <c r="E8" s="57"/>
      <c r="F8" s="57">
        <f>SUM(F5:F7)</f>
        <v>200000</v>
      </c>
      <c r="G8" s="3"/>
    </row>
    <row r="9" spans="2:8" ht="28.5" customHeight="1" x14ac:dyDescent="0.2">
      <c r="B9" s="553" t="s">
        <v>39</v>
      </c>
      <c r="C9" s="554"/>
      <c r="D9" s="554"/>
      <c r="E9" s="554"/>
      <c r="F9" s="555"/>
    </row>
    <row r="10" spans="2:8" ht="20.25" customHeight="1" x14ac:dyDescent="0.2">
      <c r="B10" s="51" t="s">
        <v>31</v>
      </c>
      <c r="C10" s="51">
        <v>2018</v>
      </c>
      <c r="D10" s="52" t="s">
        <v>2</v>
      </c>
      <c r="E10" s="53" t="s">
        <v>3</v>
      </c>
      <c r="F10" s="52" t="s">
        <v>4</v>
      </c>
    </row>
    <row r="11" spans="2:8" ht="20.25" customHeight="1" x14ac:dyDescent="0.2">
      <c r="B11" s="48" t="s">
        <v>32</v>
      </c>
      <c r="C11" s="58" t="e">
        <f>'Cote d''Ivoire'!F50+'Rép du Congo'!F15+Zambie!#REF!+Indonésie!#REF!+Myanmar!#REF!+'Viet Nam'!#REF!+Colombie!#REF!+Mexique!#REF!+#REF!+'Approche paysages'!E42+'Régimes fonciers et peuples aut'!E43+'Financement et secteur privé'!C21+#REF!+#REF!+'Gestion connaissances et com.'!C39</f>
        <v>#REF!</v>
      </c>
      <c r="D11" s="59" t="e">
        <f>'Cote d''Ivoire'!C50+'Rép du Congo'!F15+Zambie!#REF!+Indonésie!#REF!+Myanmar!#REF!+'Viet Nam'!#REF!+Colombie!#REF!+Mexique!#REF!+#REF!+'Approche paysages'!C42+'Régimes fonciers et peuples aut'!C43</f>
        <v>#REF!</v>
      </c>
      <c r="E11" s="59" t="e">
        <f>'Cote d''Ivoire'!D41+Zambie!D41+Indonésie!D38+Myanmar!D34+'Viet Nam'!D28+Colombie!#REF!+Mexique!#REF!+#REF!+'Régimes fonciers et peuples aut'!D33+#REF!+#REF!</f>
        <v>#REF!</v>
      </c>
      <c r="F11" s="59" t="e">
        <f>'Cote d''Ivoire'!E50+Zambie!#REF!+Indonésie!#REF!+Myanmar!#REF!+Colombie!#REF!+Mexique!#REF!+#REF!+'Approche paysages'!D42+'Financement et secteur privé'!C21+'Gestion connaissances et com.'!C39</f>
        <v>#REF!</v>
      </c>
      <c r="G11" s="6"/>
    </row>
    <row r="12" spans="2:8" ht="20.25" customHeight="1" x14ac:dyDescent="0.2">
      <c r="B12" s="48" t="s">
        <v>35</v>
      </c>
      <c r="C12" s="58">
        <f>'Gestion connaissances et com.'!C42</f>
        <v>30000</v>
      </c>
      <c r="D12" s="59"/>
      <c r="E12" s="59"/>
      <c r="F12" s="59">
        <f>'Gestion connaissances et com.'!C42</f>
        <v>30000</v>
      </c>
    </row>
    <row r="13" spans="2:8" ht="20.25" customHeight="1" x14ac:dyDescent="0.2">
      <c r="B13" s="48" t="s">
        <v>36</v>
      </c>
      <c r="C13" s="58" t="e">
        <f>'Cote d''Ivoire'!F51+'Rép du Congo'!F16+Zambie!#REF!+Indonésie!#REF!+Myanmar!#REF!+'Viet Nam'!#REF!+Colombie!#REF!+Mexique!#REF!+#REF!+'Approche paysages'!E43+'Régimes fonciers et peuples aut'!E44+'Financement et secteur privé'!C22+#REF!+#REF!+'Gestion connaissances et com.'!C40</f>
        <v>#REF!</v>
      </c>
      <c r="D13" s="59" t="e">
        <f>'Cote d''Ivoire'!C51+'Rép du Congo'!F16+Zambie!#REF!+Indonésie!#REF!+Myanmar!#REF!+'Viet Nam'!#REF!+Colombie!#REF!+Mexique!#REF!+#REF!+'Approche paysages'!C43+'Régimes fonciers et peuples aut'!C44</f>
        <v>#REF!</v>
      </c>
      <c r="E13" s="59" t="e">
        <f>'Cote d''Ivoire'!D42+Zambie!D42+Indonésie!D39+Myanmar!D35+'Viet Nam'!D29+Colombie!#REF!+Mexique!#REF!+#REF!+'Régimes fonciers et peuples aut'!D34+#REF!+#REF!</f>
        <v>#REF!</v>
      </c>
      <c r="F13" s="59" t="e">
        <f>'Cote d''Ivoire'!E51+Zambie!#REF!+Indonésie!#REF!+Myanmar!#REF!+Colombie!#REF!+Mexique!#REF!+#REF!+'Approche paysages'!D43+'Financement et secteur privé'!C22+'Gestion connaissances et com.'!C40</f>
        <v>#REF!</v>
      </c>
      <c r="G13" s="6"/>
    </row>
    <row r="14" spans="2:8" ht="20.25" customHeight="1" x14ac:dyDescent="0.2">
      <c r="B14" s="49" t="s">
        <v>37</v>
      </c>
      <c r="C14" s="58" t="e">
        <f>'Cote d''Ivoire'!F52+'Rép du Congo'!F17+Zambie!#REF!+Indonésie!#REF!+Myanmar!#REF!+'Viet Nam'!#REF!+Colombie!#REF!+Mexique!#REF!+#REF!+'Approche paysages'!E44+'Régimes fonciers et peuples aut'!E45+#REF!+#REF!+'Gestion connaissances et com.'!C41</f>
        <v>#REF!</v>
      </c>
      <c r="D14" s="59" t="e">
        <f>'Cote d''Ivoire'!C52+'Rép du Congo'!F17+Zambie!#REF!+Indonésie!#REF!+Myanmar!#REF!+'Viet Nam'!#REF!+Colombie!#REF!+Mexique!#REF!+#REF!+'Approche paysages'!C44+'Régimes fonciers et peuples aut'!C45</f>
        <v>#REF!</v>
      </c>
      <c r="E14" s="59" t="e">
        <f>'Cote d''Ivoire'!D43+Zambie!D43+Indonésie!D40+Myanmar!D36+'Viet Nam'!D30+Colombie!#REF!+Mexique!#REF!+#REF!+'Régimes fonciers et peuples aut'!D35+#REF!+#REF!</f>
        <v>#REF!</v>
      </c>
      <c r="F14" s="59" t="e">
        <f>'Cote d''Ivoire'!E52+Zambie!#REF!+Indonésie!#REF!+Myanmar!#REF!+Colombie!#REF!+Mexique!#REF!+#REF!+'Approche paysages'!D44+'Gestion connaissances et com.'!C41</f>
        <v>#REF!</v>
      </c>
      <c r="G14" s="6"/>
    </row>
    <row r="15" spans="2:8" ht="20.25" customHeight="1" x14ac:dyDescent="0.2">
      <c r="B15" s="60" t="s">
        <v>38</v>
      </c>
      <c r="C15" s="61" t="e">
        <f>SUM(C11:C14)</f>
        <v>#REF!</v>
      </c>
      <c r="D15" s="61" t="e">
        <f>SUM(D11:D14)</f>
        <v>#REF!</v>
      </c>
      <c r="E15" s="61" t="e">
        <f>SUM(E11:E14)</f>
        <v>#REF!</v>
      </c>
      <c r="F15" s="61" t="e">
        <f>SUM(F11:F14)</f>
        <v>#REF!</v>
      </c>
      <c r="G15" s="6"/>
    </row>
    <row r="16" spans="2:8" ht="20.25" customHeight="1" x14ac:dyDescent="0.2">
      <c r="B16" s="62" t="s">
        <v>40</v>
      </c>
      <c r="C16" s="63" t="e">
        <f>C15+C8</f>
        <v>#REF!</v>
      </c>
      <c r="D16" s="63" t="e">
        <f>D15+D8</f>
        <v>#REF!</v>
      </c>
      <c r="E16" s="63" t="e">
        <f>E15+E8</f>
        <v>#REF!</v>
      </c>
      <c r="F16" s="63" t="e">
        <f>F15+F8</f>
        <v>#REF!</v>
      </c>
      <c r="G16" s="6"/>
    </row>
    <row r="17" spans="2:7" ht="20.25" customHeight="1" x14ac:dyDescent="0.2">
      <c r="B17" s="62" t="s">
        <v>41</v>
      </c>
      <c r="C17" s="63" t="e">
        <f>0.07*C16</f>
        <v>#REF!</v>
      </c>
      <c r="D17" s="63" t="e">
        <f>0.07*D16</f>
        <v>#REF!</v>
      </c>
      <c r="E17" s="63" t="e">
        <f>0.07*E16</f>
        <v>#REF!</v>
      </c>
      <c r="F17" s="63" t="e">
        <f>0.07*F16</f>
        <v>#REF!</v>
      </c>
      <c r="G17" s="6"/>
    </row>
    <row r="18" spans="2:7" ht="20.25" customHeight="1" x14ac:dyDescent="0.2">
      <c r="B18" s="64" t="s">
        <v>42</v>
      </c>
      <c r="C18" s="65" t="e">
        <f>SUM(C16:C17)</f>
        <v>#REF!</v>
      </c>
      <c r="D18" s="65" t="e">
        <f>SUM(D16:D17)</f>
        <v>#REF!</v>
      </c>
      <c r="E18" s="65" t="e">
        <f>SUM(E16:E17)</f>
        <v>#REF!</v>
      </c>
      <c r="F18" s="65" t="e">
        <f>SUM(F16:F17)</f>
        <v>#REF!</v>
      </c>
      <c r="G18" s="6"/>
    </row>
    <row r="20" spans="2:7" x14ac:dyDescent="0.2">
      <c r="E20" s="6"/>
    </row>
  </sheetData>
  <mergeCells count="3">
    <mergeCell ref="B3:F3"/>
    <mergeCell ref="B9:F9"/>
    <mergeCell ref="B2:F2"/>
  </mergeCells>
  <printOptions horizontalCentered="1"/>
  <pageMargins left="0.23622047244094491" right="0.23622047244094491" top="0.74803149606299213" bottom="0.74803149606299213" header="0.31496062992125984" footer="0.31496062992125984"/>
  <pageSetup paperSize="8" scale="74" fitToHeight="13" orientation="landscape" horizontalDpi="300" verticalDpi="300"/>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2:G33"/>
  <sheetViews>
    <sheetView showGridLines="0" workbookViewId="0">
      <selection activeCell="J26" sqref="J26"/>
    </sheetView>
  </sheetViews>
  <sheetFormatPr baseColWidth="10" defaultColWidth="9.1640625" defaultRowHeight="15" x14ac:dyDescent="0.2"/>
  <cols>
    <col min="1" max="1" width="9.1640625" style="16"/>
    <col min="2" max="2" width="34.33203125" style="16" customWidth="1"/>
    <col min="3" max="3" width="12.5" style="16" customWidth="1"/>
    <col min="4" max="4" width="12.6640625" style="16" customWidth="1"/>
    <col min="5" max="5" width="12.5" style="16" customWidth="1"/>
    <col min="6" max="6" width="13.5" style="16" customWidth="1"/>
    <col min="7" max="7" width="14.5" style="16" customWidth="1"/>
    <col min="8" max="16384" width="9.1640625" style="16"/>
  </cols>
  <sheetData>
    <row r="2" spans="2:7" ht="16" thickBot="1" x14ac:dyDescent="0.25">
      <c r="B2" s="94" t="s">
        <v>55</v>
      </c>
      <c r="C2" s="95"/>
      <c r="D2" s="95"/>
      <c r="E2" s="95"/>
      <c r="F2" s="95"/>
    </row>
    <row r="3" spans="2:7" x14ac:dyDescent="0.2">
      <c r="B3" s="561" t="s">
        <v>0</v>
      </c>
      <c r="C3" s="563">
        <v>2018</v>
      </c>
      <c r="D3" s="564"/>
      <c r="E3" s="564"/>
      <c r="F3" s="565"/>
    </row>
    <row r="4" spans="2:7" x14ac:dyDescent="0.2">
      <c r="B4" s="562"/>
      <c r="C4" s="66" t="s">
        <v>2</v>
      </c>
      <c r="D4" s="66" t="s">
        <v>3</v>
      </c>
      <c r="E4" s="67" t="s">
        <v>4</v>
      </c>
      <c r="F4" s="66" t="s">
        <v>1</v>
      </c>
    </row>
    <row r="5" spans="2:7" x14ac:dyDescent="0.2">
      <c r="B5" s="68" t="s">
        <v>5</v>
      </c>
      <c r="C5" s="69" t="e">
        <f>C6+C10+C14</f>
        <v>#REF!</v>
      </c>
      <c r="D5" s="69" t="e">
        <f>D6+D10+D14</f>
        <v>#REF!</v>
      </c>
      <c r="E5" s="70" t="e">
        <f>E6+E10+E14</f>
        <v>#REF!</v>
      </c>
      <c r="F5" s="69" t="e">
        <f>F6+F10+F14</f>
        <v>#REF!</v>
      </c>
      <c r="G5" s="26"/>
    </row>
    <row r="6" spans="2:7" x14ac:dyDescent="0.2">
      <c r="B6" s="71" t="s">
        <v>6</v>
      </c>
      <c r="C6" s="72">
        <f>SUM(C7:C9)</f>
        <v>660336.17367055023</v>
      </c>
      <c r="D6" s="72">
        <f>SUM(D7:D9)</f>
        <v>372878.08999999997</v>
      </c>
      <c r="E6" s="73">
        <f>SUM(E7:E9)</f>
        <v>189300</v>
      </c>
      <c r="F6" s="72">
        <f>SUM(F7:F9)</f>
        <v>1222514.2636705502</v>
      </c>
      <c r="G6" s="26"/>
    </row>
    <row r="7" spans="2:7" x14ac:dyDescent="0.2">
      <c r="B7" s="74" t="s">
        <v>7</v>
      </c>
      <c r="C7" s="75">
        <f>'Cote d''Ivoire'!$C$44</f>
        <v>202401.95069516427</v>
      </c>
      <c r="D7" s="75">
        <f>'Cote d''Ivoire'!$D$44</f>
        <v>338859.49</v>
      </c>
      <c r="E7" s="76">
        <f>'Cote d''Ivoire'!$E$44</f>
        <v>129000</v>
      </c>
      <c r="F7" s="75">
        <f>SUM(C7:E7)</f>
        <v>670261.44069516426</v>
      </c>
    </row>
    <row r="8" spans="2:7" x14ac:dyDescent="0.2">
      <c r="B8" s="74" t="s">
        <v>8</v>
      </c>
      <c r="C8" s="75">
        <f>'Rép du Congo'!$F$20</f>
        <v>240352.22297538599</v>
      </c>
      <c r="D8" s="75"/>
      <c r="E8" s="76"/>
      <c r="F8" s="75">
        <f>SUM(C8:E8)</f>
        <v>240352.22297538599</v>
      </c>
    </row>
    <row r="9" spans="2:7" x14ac:dyDescent="0.2">
      <c r="B9" s="74" t="s">
        <v>9</v>
      </c>
      <c r="C9" s="75">
        <f>Zambie!$C$44</f>
        <v>217582</v>
      </c>
      <c r="D9" s="75">
        <f>Zambie!$D$44</f>
        <v>34018.6</v>
      </c>
      <c r="E9" s="76">
        <f>Zambie!$E$44</f>
        <v>60300</v>
      </c>
      <c r="F9" s="75">
        <f>SUM(C9:E9)</f>
        <v>311900.59999999998</v>
      </c>
    </row>
    <row r="10" spans="2:7" x14ac:dyDescent="0.2">
      <c r="B10" s="77" t="s">
        <v>10</v>
      </c>
      <c r="C10" s="78">
        <f>SUM(C11:C13)</f>
        <v>834907.08446736168</v>
      </c>
      <c r="D10" s="78">
        <f>SUM(D11:D13)</f>
        <v>547800.96</v>
      </c>
      <c r="E10" s="79">
        <f>SUM(E11:E13)</f>
        <v>231000</v>
      </c>
      <c r="F10" s="78">
        <f>SUM(F11:F13)</f>
        <v>1613708.0444673616</v>
      </c>
    </row>
    <row r="11" spans="2:7" x14ac:dyDescent="0.2">
      <c r="B11" s="74" t="s">
        <v>11</v>
      </c>
      <c r="C11" s="75">
        <f>Indonésie!$C$41</f>
        <v>442754</v>
      </c>
      <c r="D11" s="75">
        <f>Indonésie!$D$41</f>
        <v>191440.09</v>
      </c>
      <c r="E11" s="76">
        <f>Indonésie!$E$41</f>
        <v>185000</v>
      </c>
      <c r="F11" s="75">
        <f>SUM(C11:E11)</f>
        <v>819194.09</v>
      </c>
    </row>
    <row r="12" spans="2:7" x14ac:dyDescent="0.2">
      <c r="B12" s="74" t="s">
        <v>12</v>
      </c>
      <c r="C12" s="75">
        <f>Myanmar!$C$37</f>
        <v>189751.49287153562</v>
      </c>
      <c r="D12" s="75">
        <f>Myanmar!$D$37</f>
        <v>207780.27</v>
      </c>
      <c r="E12" s="76">
        <f>Myanmar!$E$37</f>
        <v>46000</v>
      </c>
      <c r="F12" s="75">
        <f>SUM(C12:E12)</f>
        <v>443531.76287153561</v>
      </c>
    </row>
    <row r="13" spans="2:7" x14ac:dyDescent="0.2">
      <c r="B13" s="74" t="s">
        <v>13</v>
      </c>
      <c r="C13" s="75">
        <f>'Viet Nam'!$C$31</f>
        <v>202401.59159582609</v>
      </c>
      <c r="D13" s="75">
        <f>'Viet Nam'!$D$31</f>
        <v>148580.6</v>
      </c>
      <c r="E13" s="76"/>
      <c r="F13" s="75">
        <f>SUM(C13:E13)</f>
        <v>350982.19159582607</v>
      </c>
    </row>
    <row r="14" spans="2:7" x14ac:dyDescent="0.2">
      <c r="B14" s="77" t="s">
        <v>14</v>
      </c>
      <c r="C14" s="78" t="e">
        <f>SUM(C15:C17)</f>
        <v>#REF!</v>
      </c>
      <c r="D14" s="78" t="e">
        <f>SUM(D15:D17)</f>
        <v>#REF!</v>
      </c>
      <c r="E14" s="79" t="e">
        <f>SUM(E15:E17)</f>
        <v>#REF!</v>
      </c>
      <c r="F14" s="78" t="e">
        <f>SUM(F15:F17)</f>
        <v>#REF!</v>
      </c>
    </row>
    <row r="15" spans="2:7" x14ac:dyDescent="0.2">
      <c r="B15" s="74" t="s">
        <v>15</v>
      </c>
      <c r="C15" s="75" t="e">
        <f>Colombie!#REF!</f>
        <v>#REF!</v>
      </c>
      <c r="D15" s="75" t="e">
        <f>Colombie!#REF!</f>
        <v>#REF!</v>
      </c>
      <c r="E15" s="76" t="e">
        <f>Colombie!#REF!</f>
        <v>#REF!</v>
      </c>
      <c r="F15" s="75" t="e">
        <f>SUM(C15:E15)</f>
        <v>#REF!</v>
      </c>
    </row>
    <row r="16" spans="2:7" x14ac:dyDescent="0.2">
      <c r="B16" s="74" t="s">
        <v>16</v>
      </c>
      <c r="C16" s="75" t="e">
        <f>Mexique!#REF!</f>
        <v>#REF!</v>
      </c>
      <c r="D16" s="75" t="e">
        <f>Mexique!#REF!</f>
        <v>#REF!</v>
      </c>
      <c r="E16" s="76" t="e">
        <f>Mexique!#REF!</f>
        <v>#REF!</v>
      </c>
      <c r="F16" s="75" t="e">
        <f>SUM(C16:E16)</f>
        <v>#REF!</v>
      </c>
    </row>
    <row r="17" spans="2:7" x14ac:dyDescent="0.2">
      <c r="B17" s="74" t="s">
        <v>17</v>
      </c>
      <c r="C17" s="75" t="e">
        <f>#REF!</f>
        <v>#REF!</v>
      </c>
      <c r="D17" s="75" t="e">
        <f>#REF!</f>
        <v>#REF!</v>
      </c>
      <c r="E17" s="80" t="e">
        <f>#REF!</f>
        <v>#REF!</v>
      </c>
      <c r="F17" s="75" t="e">
        <f>SUM(C17:E17)</f>
        <v>#REF!</v>
      </c>
    </row>
    <row r="18" spans="2:7" x14ac:dyDescent="0.2">
      <c r="B18" s="81" t="s">
        <v>18</v>
      </c>
      <c r="C18" s="82" t="e">
        <f>SUM(C19:C25)</f>
        <v>#REF!</v>
      </c>
      <c r="D18" s="82" t="e">
        <f>SUM(D19:D25)</f>
        <v>#REF!</v>
      </c>
      <c r="E18" s="83">
        <f>SUM(E19:E25)</f>
        <v>0</v>
      </c>
      <c r="F18" s="82" t="e">
        <f>SUM(F19:F25)</f>
        <v>#REF!</v>
      </c>
      <c r="G18" s="26"/>
    </row>
    <row r="19" spans="2:7" x14ac:dyDescent="0.2">
      <c r="B19" s="74" t="s">
        <v>19</v>
      </c>
      <c r="C19" s="84">
        <f>'Approche paysages'!$C$36</f>
        <v>210151.95502079604</v>
      </c>
      <c r="D19" s="84"/>
      <c r="E19" s="85">
        <f>'Approche paysages'!$D$45</f>
        <v>0</v>
      </c>
      <c r="F19" s="84">
        <f t="shared" ref="F19:F25" si="0">SUM(C19:E19)</f>
        <v>210151.95502079604</v>
      </c>
    </row>
    <row r="20" spans="2:7" x14ac:dyDescent="0.2">
      <c r="B20" s="74" t="s">
        <v>20</v>
      </c>
      <c r="C20" s="84"/>
      <c r="D20" s="84"/>
      <c r="E20" s="85">
        <f>'Financement et secteur privé'!$C$24</f>
        <v>0</v>
      </c>
      <c r="F20" s="84">
        <f t="shared" si="0"/>
        <v>0</v>
      </c>
    </row>
    <row r="21" spans="2:7" x14ac:dyDescent="0.2">
      <c r="B21" s="74" t="s">
        <v>21</v>
      </c>
      <c r="C21" s="84">
        <f>'Régimes fonciers et peuples aut'!$C$36</f>
        <v>208942.69637081883</v>
      </c>
      <c r="D21" s="84">
        <f>'Régimes fonciers et peuples aut'!$D$36</f>
        <v>518240</v>
      </c>
      <c r="E21" s="85"/>
      <c r="F21" s="84">
        <f t="shared" si="0"/>
        <v>727182.69637081889</v>
      </c>
    </row>
    <row r="22" spans="2:7" x14ac:dyDescent="0.2">
      <c r="B22" s="74" t="s">
        <v>22</v>
      </c>
      <c r="C22" s="84">
        <f>SNSF!F16</f>
        <v>383202.97155208176</v>
      </c>
      <c r="D22" s="84"/>
      <c r="E22" s="85"/>
      <c r="F22" s="84">
        <f t="shared" si="0"/>
        <v>383202.97155208176</v>
      </c>
    </row>
    <row r="23" spans="2:7" x14ac:dyDescent="0.2">
      <c r="B23" s="74" t="s">
        <v>23</v>
      </c>
      <c r="C23" s="84" t="e">
        <f>#REF!</f>
        <v>#REF!</v>
      </c>
      <c r="D23" s="84" t="e">
        <f>#REF!</f>
        <v>#REF!</v>
      </c>
      <c r="E23" s="85"/>
      <c r="F23" s="84" t="e">
        <f t="shared" si="0"/>
        <v>#REF!</v>
      </c>
    </row>
    <row r="24" spans="2:7" x14ac:dyDescent="0.2">
      <c r="B24" s="74" t="s">
        <v>24</v>
      </c>
      <c r="C24" s="84"/>
      <c r="D24" s="84" t="e">
        <f>#REF!</f>
        <v>#REF!</v>
      </c>
      <c r="E24" s="85"/>
      <c r="F24" s="84" t="e">
        <f t="shared" si="0"/>
        <v>#REF!</v>
      </c>
    </row>
    <row r="25" spans="2:7" x14ac:dyDescent="0.2">
      <c r="B25" s="74" t="s">
        <v>25</v>
      </c>
      <c r="C25" s="84"/>
      <c r="D25" s="84"/>
      <c r="E25" s="85">
        <f>'Gestion connaissances et com.'!$C$33</f>
        <v>0</v>
      </c>
      <c r="F25" s="84">
        <f t="shared" si="0"/>
        <v>0</v>
      </c>
    </row>
    <row r="26" spans="2:7" x14ac:dyDescent="0.2">
      <c r="B26" s="77" t="s">
        <v>26</v>
      </c>
      <c r="C26" s="86" t="e">
        <f>C18+C14+C10+C6</f>
        <v>#REF!</v>
      </c>
      <c r="D26" s="86" t="e">
        <f>D18+D14+D10+D6</f>
        <v>#REF!</v>
      </c>
      <c r="E26" s="87" t="e">
        <f>E18+E14+E10+E6</f>
        <v>#REF!</v>
      </c>
      <c r="F26" s="86" t="e">
        <f>F18+F14+F10+F6</f>
        <v>#REF!</v>
      </c>
      <c r="G26" s="26"/>
    </row>
    <row r="27" spans="2:7" x14ac:dyDescent="0.2">
      <c r="B27" s="88" t="s">
        <v>27</v>
      </c>
      <c r="C27" s="89" t="e">
        <f>C26*0.07</f>
        <v>#REF!</v>
      </c>
      <c r="D27" s="89" t="e">
        <f>D26*0.07</f>
        <v>#REF!</v>
      </c>
      <c r="E27" s="90" t="e">
        <f>E26*0.07</f>
        <v>#REF!</v>
      </c>
      <c r="F27" s="89" t="e">
        <f>F26*0.07</f>
        <v>#REF!</v>
      </c>
    </row>
    <row r="28" spans="2:7" x14ac:dyDescent="0.2">
      <c r="B28" s="91" t="s">
        <v>28</v>
      </c>
      <c r="C28" s="92" t="e">
        <f>SUM(C26:C27)</f>
        <v>#REF!</v>
      </c>
      <c r="D28" s="92" t="e">
        <f>SUM(D26:D27)</f>
        <v>#REF!</v>
      </c>
      <c r="E28" s="93" t="e">
        <f>SUM(E26:E27)</f>
        <v>#REF!</v>
      </c>
      <c r="F28" s="92" t="e">
        <f>SUM(F26:F27)</f>
        <v>#REF!</v>
      </c>
    </row>
    <row r="29" spans="2:7" x14ac:dyDescent="0.2">
      <c r="C29" s="32"/>
    </row>
    <row r="30" spans="2:7" x14ac:dyDescent="0.2">
      <c r="C30" s="26"/>
      <c r="D30" s="34"/>
      <c r="E30" s="34"/>
      <c r="F30" s="34"/>
    </row>
    <row r="31" spans="2:7" x14ac:dyDescent="0.2">
      <c r="C31" s="26"/>
    </row>
    <row r="33" spans="4:4" x14ac:dyDescent="0.2">
      <c r="D33" s="26"/>
    </row>
  </sheetData>
  <mergeCells count="2">
    <mergeCell ref="B3:B4"/>
    <mergeCell ref="C3:F3"/>
  </mergeCells>
  <pageMargins left="0.70866141732283472" right="0.70866141732283472" top="0.74803149606299213" bottom="0.74803149606299213" header="0.31496062992125984" footer="0.31496062992125984"/>
  <pageSetup paperSize="9" scale="8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7"/>
  <sheetViews>
    <sheetView topLeftCell="A19" zoomScale="125" zoomScaleNormal="125" zoomScalePageLayoutView="125" workbookViewId="0">
      <selection activeCell="G41" sqref="G41"/>
    </sheetView>
  </sheetViews>
  <sheetFormatPr baseColWidth="10" defaultColWidth="23.6640625" defaultRowHeight="12" x14ac:dyDescent="0.15"/>
  <cols>
    <col min="1" max="1" width="2.6640625" style="14" customWidth="1"/>
    <col min="2" max="2" width="46" style="281" customWidth="1"/>
    <col min="3" max="3" width="11.33203125" style="14" customWidth="1"/>
    <col min="4" max="4" width="11.5" style="14" customWidth="1"/>
    <col min="5" max="5" width="11.1640625" style="14" customWidth="1"/>
    <col min="6" max="6" width="12.83203125" style="14" customWidth="1"/>
    <col min="7" max="16384" width="23.6640625" style="14"/>
  </cols>
  <sheetData>
    <row r="2" spans="2:10" ht="24.75" customHeight="1" x14ac:dyDescent="0.15">
      <c r="B2" s="569" t="s">
        <v>354</v>
      </c>
      <c r="C2" s="569"/>
      <c r="D2" s="569"/>
      <c r="E2" s="569"/>
      <c r="F2" s="569"/>
    </row>
    <row r="3" spans="2:10" ht="33" customHeight="1" x14ac:dyDescent="0.15">
      <c r="B3" s="566" t="s">
        <v>185</v>
      </c>
      <c r="C3" s="567"/>
      <c r="D3" s="567"/>
      <c r="E3" s="567"/>
      <c r="F3" s="568"/>
    </row>
    <row r="4" spans="2:10" ht="20.25" customHeight="1" x14ac:dyDescent="0.15">
      <c r="B4" s="224" t="s">
        <v>62</v>
      </c>
      <c r="C4" s="191" t="s">
        <v>70</v>
      </c>
      <c r="D4" s="192" t="s">
        <v>2</v>
      </c>
      <c r="E4" s="207" t="s">
        <v>71</v>
      </c>
      <c r="F4" s="192" t="s">
        <v>72</v>
      </c>
      <c r="G4" s="276"/>
      <c r="H4" s="277"/>
    </row>
    <row r="5" spans="2:10" ht="20.25" customHeight="1" x14ac:dyDescent="0.15">
      <c r="B5" s="223" t="s">
        <v>63</v>
      </c>
      <c r="C5" s="373">
        <f>D5+E5+F5</f>
        <v>2010351.2903385409</v>
      </c>
      <c r="D5" s="374">
        <f>'Cote d''Ivoire'!D60+'Rép du Congo'!D38+Zambie!D52+Indonésie!D50+Myanmar!D45+'Viet Nam'!D39+Colombie!D64+Mexique!D53+Pérou!D59+'Approche paysages'!D53+'Financement et secteur privé'!D31+'Régimes fonciers et peuples aut'!D52+SNSF!D33+'Accord de Paris et ODD'!D51+'Mécanismes de financement REDD+'!D35+'Gestion connaissances et com.'!D50</f>
        <v>1510351.2903385409</v>
      </c>
      <c r="E5" s="374">
        <f>'Cote d''Ivoire'!E60+'Rép du Congo'!E38+Zambie!E52+Indonésie!E50+Myanmar!E45+'Viet Nam'!E39+Colombie!E64+Mexique!E53+Pérou!E59+'Approche paysages'!E53+'Financement et secteur privé'!E31+'Régimes fonciers et peuples aut'!E52+SNSF!E33+'Accord de Paris et ODD'!E51+'Mécanismes de financement REDD+'!E35+'Gestion connaissances et com.'!E50</f>
        <v>0</v>
      </c>
      <c r="F5" s="374">
        <f>'Cote d''Ivoire'!F60+'Rép du Congo'!F38+Zambie!F52+Indonésie!F50+Myanmar!F45+'Viet Nam'!F39+Colombie!F64+Mexique!F53+Pérou!F59+'Approche paysages'!F53+'Financement et secteur privé'!F31+'Régimes fonciers et peuples aut'!F52+SNSF!F33+'Accord de Paris et ODD'!F51+'Mécanismes de financement REDD+'!F35+'Gestion connaissances et com.'!F50</f>
        <v>500000</v>
      </c>
      <c r="G5" s="276"/>
      <c r="H5" s="277"/>
    </row>
    <row r="6" spans="2:10" ht="20.25" customHeight="1" x14ac:dyDescent="0.15">
      <c r="B6" s="223" t="s">
        <v>64</v>
      </c>
      <c r="C6" s="373">
        <f t="shared" ref="C6:C11" si="0">D6+E6+F6</f>
        <v>0</v>
      </c>
      <c r="D6" s="374">
        <f>'Cote d''Ivoire'!D61+'Rép du Congo'!D39+Zambie!D53+Indonésie!D51+Myanmar!D46+'Viet Nam'!D40+Colombie!D65+Mexique!D54+Pérou!D60+'Approche paysages'!D54+'Financement et secteur privé'!D32+'Régimes fonciers et peuples aut'!D53+SNSF!D34+'Accord de Paris et ODD'!D52+'Mécanismes de financement REDD+'!D36+'Gestion connaissances et com.'!D51</f>
        <v>0</v>
      </c>
      <c r="E6" s="374">
        <f>'Cote d''Ivoire'!E61+'Rép du Congo'!E39+Zambie!E53+Indonésie!E51+Myanmar!E46+'Viet Nam'!E40+Colombie!E65+Mexique!E54+Pérou!E60+'Approche paysages'!E54+'Financement et secteur privé'!E32+'Régimes fonciers et peuples aut'!E53+SNSF!E34+'Accord de Paris et ODD'!E52+'Mécanismes de financement REDD+'!E36+'Gestion connaissances et com.'!E51</f>
        <v>0</v>
      </c>
      <c r="F6" s="374">
        <f>'Cote d''Ivoire'!F61+'Rép du Congo'!F39+Zambie!F53+Indonésie!F51+Myanmar!F46+'Viet Nam'!F40+Colombie!F65+Mexique!F54+Pérou!F60+'Approche paysages'!F54+'Financement et secteur privé'!F32+'Régimes fonciers et peuples aut'!F53+SNSF!F34+'Accord de Paris et ODD'!F52+'Mécanismes de financement REDD+'!F36+'Gestion connaissances et com.'!F51</f>
        <v>0</v>
      </c>
      <c r="G6" s="276"/>
    </row>
    <row r="7" spans="2:10" ht="20.25" customHeight="1" x14ac:dyDescent="0.15">
      <c r="B7" s="225" t="s">
        <v>65</v>
      </c>
      <c r="C7" s="373">
        <f t="shared" si="0"/>
        <v>0</v>
      </c>
      <c r="D7" s="374">
        <f>'Cote d''Ivoire'!D62+'Rép du Congo'!D40+Zambie!D54+Indonésie!D52+Myanmar!D47+'Viet Nam'!D41+Colombie!D66+Mexique!D55+Pérou!D61+'Approche paysages'!D55+'Financement et secteur privé'!D33+'Régimes fonciers et peuples aut'!D54+SNSF!D35+'Accord de Paris et ODD'!D53+'Mécanismes de financement REDD+'!D37+'Gestion connaissances et com.'!D52</f>
        <v>0</v>
      </c>
      <c r="E7" s="374">
        <f>'Cote d''Ivoire'!E62+'Rép du Congo'!E40+Zambie!E54+Indonésie!E52+Myanmar!E47+'Viet Nam'!E41+Colombie!E66+Mexique!E55+Pérou!E61+'Approche paysages'!E55+'Financement et secteur privé'!E33+'Régimes fonciers et peuples aut'!E54+SNSF!E35+'Accord de Paris et ODD'!E53+'Mécanismes de financement REDD+'!E37+'Gestion connaissances et com.'!E52</f>
        <v>0</v>
      </c>
      <c r="F7" s="374">
        <f>'Cote d''Ivoire'!F62+'Rép du Congo'!F40+Zambie!F54+Indonésie!F52+Myanmar!F47+'Viet Nam'!F41+Colombie!F66+Mexique!F55+Pérou!F61+'Approche paysages'!F55+'Financement et secteur privé'!F33+'Régimes fonciers et peuples aut'!F54+SNSF!F35+'Accord de Paris et ODD'!F53+'Mécanismes de financement REDD+'!F37+'Gestion connaissances et com.'!F52</f>
        <v>0</v>
      </c>
      <c r="G7" s="276"/>
      <c r="H7" s="277"/>
    </row>
    <row r="8" spans="2:10" ht="20.25" customHeight="1" x14ac:dyDescent="0.15">
      <c r="B8" s="223" t="s">
        <v>66</v>
      </c>
      <c r="C8" s="373">
        <f t="shared" si="0"/>
        <v>0</v>
      </c>
      <c r="D8" s="374">
        <f>'Cote d''Ivoire'!D63+'Rép du Congo'!D41+Zambie!D55+Indonésie!D53+Myanmar!D48+'Viet Nam'!D42+Colombie!D67+Mexique!D56+Pérou!D62+'Approche paysages'!D56+'Financement et secteur privé'!D34+'Régimes fonciers et peuples aut'!D55+SNSF!D36+'Accord de Paris et ODD'!D54+'Mécanismes de financement REDD+'!D38+'Gestion connaissances et com.'!D53</f>
        <v>0</v>
      </c>
      <c r="E8" s="374">
        <f>'Cote d''Ivoire'!E63+'Rép du Congo'!E41+Zambie!E55+Indonésie!E53+Myanmar!E48+'Viet Nam'!E42+Colombie!E67+Mexique!E56+Pérou!E62+'Approche paysages'!E56+'Financement et secteur privé'!E34+'Régimes fonciers et peuples aut'!E55+SNSF!E36+'Accord de Paris et ODD'!E54+'Mécanismes de financement REDD+'!E38+'Gestion connaissances et com.'!E53</f>
        <v>0</v>
      </c>
      <c r="F8" s="374">
        <f>'Cote d''Ivoire'!F63+'Rép du Congo'!F41+Zambie!F55+Indonésie!F53+Myanmar!F48+'Viet Nam'!F42+Colombie!F67+Mexique!F56+Pérou!F62+'Approche paysages'!F56+'Financement et secteur privé'!F34+'Régimes fonciers et peuples aut'!F55+SNSF!F36+'Accord de Paris et ODD'!F54+'Mécanismes de financement REDD+'!F38+'Gestion connaissances et com.'!F53</f>
        <v>0</v>
      </c>
      <c r="G8" s="276"/>
      <c r="H8" s="277"/>
    </row>
    <row r="9" spans="2:10" ht="20.25" customHeight="1" x14ac:dyDescent="0.15">
      <c r="B9" s="223" t="s">
        <v>67</v>
      </c>
      <c r="C9" s="373">
        <f t="shared" si="0"/>
        <v>273851.08124643168</v>
      </c>
      <c r="D9" s="374">
        <f>'Cote d''Ivoire'!D64+'Rép du Congo'!D42+Zambie!D56+Indonésie!D54+Myanmar!D49+'Viet Nam'!D43+Colombie!D68+Mexique!D57+Pérou!D63+'Approche paysages'!D57+'Financement et secteur privé'!D35+'Régimes fonciers et peuples aut'!D56+SNSF!D37+'Accord de Paris et ODD'!D55+'Mécanismes de financement REDD+'!D39+'Gestion connaissances et com.'!D54</f>
        <v>156851.08124643168</v>
      </c>
      <c r="E9" s="374">
        <f>'Cote d''Ivoire'!E64+'Rép du Congo'!E42+Zambie!E56+Indonésie!E54+Myanmar!E49+'Viet Nam'!E43+Colombie!E68+Mexique!E57+Pérou!E63+'Approche paysages'!E57+'Financement et secteur privé'!E35+'Régimes fonciers et peuples aut'!E56+SNSF!E37+'Accord de Paris et ODD'!E55+'Mécanismes de financement REDD+'!E39+'Gestion connaissances et com.'!E54</f>
        <v>0</v>
      </c>
      <c r="F9" s="374">
        <f>'Cote d''Ivoire'!F64+'Rép du Congo'!F42+Zambie!F56+Indonésie!F54+Myanmar!F49+'Viet Nam'!F43+Colombie!F68+Mexique!F57+Pérou!F63+'Approche paysages'!F57+'Financement et secteur privé'!F35+'Régimes fonciers et peuples aut'!F56+SNSF!F37+'Accord de Paris et ODD'!F55+'Mécanismes de financement REDD+'!F39+'Gestion connaissances et com.'!F54</f>
        <v>117000</v>
      </c>
      <c r="G9" s="276"/>
      <c r="H9" s="277"/>
    </row>
    <row r="10" spans="2:10" ht="20.25" customHeight="1" x14ac:dyDescent="0.15">
      <c r="B10" s="225" t="s">
        <v>68</v>
      </c>
      <c r="C10" s="373">
        <f t="shared" si="0"/>
        <v>0</v>
      </c>
      <c r="D10" s="374">
        <f>'Cote d''Ivoire'!D65+'Rép du Congo'!D43+Zambie!D57+Indonésie!D55+Myanmar!D50+'Viet Nam'!D44+Colombie!D69+Mexique!D58+Pérou!D64+'Approche paysages'!D58+'Financement et secteur privé'!D36+'Régimes fonciers et peuples aut'!D57+SNSF!D38+'Accord de Paris et ODD'!D56+'Mécanismes de financement REDD+'!D40+'Gestion connaissances et com.'!D55</f>
        <v>0</v>
      </c>
      <c r="E10" s="374">
        <f>'Cote d''Ivoire'!E65+'Rép du Congo'!E43+Zambie!E57+Indonésie!E55+Myanmar!E50+'Viet Nam'!E44+Colombie!E69+Mexique!E58+Pérou!E64+'Approche paysages'!E58+'Financement et secteur privé'!E36+'Régimes fonciers et peuples aut'!E57+SNSF!E38+'Accord de Paris et ODD'!E56+'Mécanismes de financement REDD+'!E40+'Gestion connaissances et com.'!E55</f>
        <v>0</v>
      </c>
      <c r="F10" s="374">
        <f>'Cote d''Ivoire'!F65+'Rép du Congo'!F43+Zambie!F57+Indonésie!F55+Myanmar!F50+'Viet Nam'!F44+Colombie!F69+Mexique!F58+Pérou!F64+'Approche paysages'!F58+'Financement et secteur privé'!F36+'Régimes fonciers et peuples aut'!F57+SNSF!F38+'Accord de Paris et ODD'!F56+'Mécanismes de financement REDD+'!F40+'Gestion connaissances et com.'!F55</f>
        <v>0</v>
      </c>
      <c r="G10" s="276"/>
      <c r="H10" s="276"/>
      <c r="I10" s="276"/>
      <c r="J10" s="276"/>
    </row>
    <row r="11" spans="2:10" ht="20.25" customHeight="1" x14ac:dyDescent="0.15">
      <c r="B11" s="225" t="s">
        <v>69</v>
      </c>
      <c r="C11" s="373">
        <f t="shared" si="0"/>
        <v>149204.5701955629</v>
      </c>
      <c r="D11" s="374">
        <f>'Cote d''Ivoire'!D66+'Rép du Congo'!D44+Zambie!D58+Indonésie!D56+Myanmar!D51+'Viet Nam'!D45+Colombie!D70+Mexique!D59+Pérou!D65+'Approche paysages'!D59+'Financement et secteur privé'!D37+'Régimes fonciers et peuples aut'!D58+SNSF!D39+'Accord de Paris et ODD'!D57+'Mécanismes de financement REDD+'!D41+'Gestion connaissances et com.'!D56</f>
        <v>99204.570195562905</v>
      </c>
      <c r="E11" s="374">
        <f>'Cote d''Ivoire'!E66+'Rép du Congo'!E44+Zambie!E58+Indonésie!E56+Myanmar!E51+'Viet Nam'!E45+Colombie!E70+Mexique!E59+Pérou!E65+'Approche paysages'!E59+'Financement et secteur privé'!E37+'Régimes fonciers et peuples aut'!E58+SNSF!E39+'Accord de Paris et ODD'!E57+'Mécanismes de financement REDD+'!E41+'Gestion connaissances et com.'!E56</f>
        <v>0</v>
      </c>
      <c r="F11" s="374">
        <f>'Cote d''Ivoire'!F66+'Rép du Congo'!F44+Zambie!F58+Indonésie!F56+Myanmar!F51+'Viet Nam'!F45+Colombie!F70+Mexique!F59+Pérou!F65+'Approche paysages'!F59+'Financement et secteur privé'!F37+'Régimes fonciers et peuples aut'!F58+SNSF!F39+'Accord de Paris et ODD'!F57+'Mécanismes de financement REDD+'!F41+'Gestion connaissances et com.'!F56</f>
        <v>50000</v>
      </c>
      <c r="G11" s="276"/>
      <c r="H11" s="276"/>
      <c r="I11" s="276"/>
      <c r="J11" s="276"/>
    </row>
    <row r="12" spans="2:10" ht="20.25" customHeight="1" x14ac:dyDescent="0.15">
      <c r="B12" s="226" t="s">
        <v>74</v>
      </c>
      <c r="C12" s="375">
        <f>SUM(C5:C11)</f>
        <v>2433406.9417805355</v>
      </c>
      <c r="D12" s="375">
        <f>SUM(D5:D11)</f>
        <v>1766406.9417805355</v>
      </c>
      <c r="E12" s="375">
        <f>SUM(E5:E11)</f>
        <v>0</v>
      </c>
      <c r="F12" s="375">
        <f>SUM(F5:F11)</f>
        <v>667000</v>
      </c>
      <c r="G12" s="276"/>
      <c r="H12" s="276"/>
      <c r="I12" s="276"/>
      <c r="J12" s="276"/>
    </row>
    <row r="13" spans="2:10" ht="28.5" customHeight="1" x14ac:dyDescent="0.15">
      <c r="B13" s="566" t="s">
        <v>243</v>
      </c>
      <c r="C13" s="567"/>
      <c r="D13" s="567"/>
      <c r="E13" s="567"/>
      <c r="F13" s="568"/>
      <c r="G13" s="276"/>
      <c r="H13" s="276"/>
      <c r="I13" s="276"/>
      <c r="J13" s="276"/>
    </row>
    <row r="14" spans="2:10" ht="20.25" customHeight="1" x14ac:dyDescent="0.15">
      <c r="B14" s="224" t="s">
        <v>73</v>
      </c>
      <c r="C14" s="191" t="s">
        <v>70</v>
      </c>
      <c r="D14" s="192" t="s">
        <v>2</v>
      </c>
      <c r="E14" s="207" t="s">
        <v>71</v>
      </c>
      <c r="F14" s="192" t="s">
        <v>72</v>
      </c>
      <c r="G14" s="276"/>
      <c r="H14" s="276"/>
      <c r="I14" s="276"/>
      <c r="J14" s="276"/>
    </row>
    <row r="15" spans="2:10" ht="20.25" customHeight="1" x14ac:dyDescent="0.15">
      <c r="B15" s="223" t="s">
        <v>63</v>
      </c>
      <c r="C15" s="376">
        <f t="shared" ref="C15:C20" si="1">F15+E15+D15</f>
        <v>5022217.1815650826</v>
      </c>
      <c r="D15" s="374">
        <f>'Cote d''Ivoire'!D71+'Rép du Congo'!D49+Zambie!D63+Indonésie!D61+Myanmar!D56+'Viet Nam'!D50+Colombie!D75+Mexique!D64+Pérou!D70+'Approche paysages'!D64+'Financement et secteur privé'!D42+'Régimes fonciers et peuples aut'!D63+SNSF!D44+'Accord de Paris et ODD'!D62+'Mécanismes de financement REDD+'!D46+'Gestion connaissances et com.'!D61</f>
        <v>922287.68156508252</v>
      </c>
      <c r="E15" s="374">
        <f>'Cote d''Ivoire'!E71+'Rép du Congo'!E49+Zambie!E63+Indonésie!E61+Myanmar!E56+'Viet Nam'!E50+Colombie!E75+Mexique!E64+Pérou!E70+'Approche paysages'!E64+'Financement et secteur privé'!E42+'Régimes fonciers et peuples aut'!E63+SNSF!E44+'Accord de Paris et ODD'!E62+'Mécanismes de financement REDD+'!E46+'Gestion connaissances et com.'!E61</f>
        <v>2733768.4000000004</v>
      </c>
      <c r="F15" s="374">
        <f>'Cote d''Ivoire'!F71+'Rép du Congo'!F49+Zambie!F63+Indonésie!F61+Myanmar!F56+'Viet Nam'!F50+Colombie!F75+Mexique!F64+Pérou!F70+'Approche paysages'!F64+'Financement et secteur privé'!F42+'Régimes fonciers et peuples aut'!F63+SNSF!F44+'Accord de Paris et ODD'!F62+'Mécanismes de financement REDD+'!F46+'Gestion connaissances et com.'!F61</f>
        <v>1366161.1</v>
      </c>
      <c r="G15" s="276"/>
      <c r="H15" s="276"/>
      <c r="I15" s="276"/>
      <c r="J15" s="276"/>
    </row>
    <row r="16" spans="2:10" ht="20.25" customHeight="1" x14ac:dyDescent="0.15">
      <c r="B16" s="223" t="s">
        <v>64</v>
      </c>
      <c r="C16" s="376">
        <f t="shared" si="1"/>
        <v>0</v>
      </c>
      <c r="D16" s="374">
        <f>'Cote d''Ivoire'!D72+'Rép du Congo'!D50+Zambie!D64+Indonésie!D62+Myanmar!D57+'Viet Nam'!D51+Colombie!D76+Mexique!D65+Pérou!D71+'Approche paysages'!D65+'Financement et secteur privé'!D43+'Régimes fonciers et peuples aut'!D64+SNSF!D45+'Accord de Paris et ODD'!D63+'Mécanismes de financement REDD+'!D47+'Gestion connaissances et com.'!D62</f>
        <v>0</v>
      </c>
      <c r="E16" s="374">
        <f>'Cote d''Ivoire'!E72+'Rép du Congo'!E50+Zambie!E64+Indonésie!E62+Myanmar!E57+'Viet Nam'!E51+Colombie!E76+Mexique!E65+Pérou!E71+'Approche paysages'!E65+'Financement et secteur privé'!E43+'Régimes fonciers et peuples aut'!E64+SNSF!E45+'Accord de Paris et ODD'!E63+'Mécanismes de financement REDD+'!E47+'Gestion connaissances et com.'!E62</f>
        <v>0</v>
      </c>
      <c r="F16" s="374">
        <f>'Cote d''Ivoire'!F72+'Rép du Congo'!F50+Zambie!F64+Indonésie!F62+Myanmar!F57+'Viet Nam'!F51+Colombie!F76+Mexique!F65+Pérou!F71+'Approche paysages'!F65+'Financement et secteur privé'!F43+'Régimes fonciers et peuples aut'!F64+SNSF!F45+'Accord de Paris et ODD'!F63+'Mécanismes de financement REDD+'!F47+'Gestion connaissances et com.'!F62</f>
        <v>0</v>
      </c>
      <c r="G16" s="276"/>
      <c r="H16" s="276"/>
      <c r="I16" s="276"/>
      <c r="J16" s="276"/>
    </row>
    <row r="17" spans="2:10" ht="20.25" customHeight="1" x14ac:dyDescent="0.15">
      <c r="B17" s="225" t="s">
        <v>65</v>
      </c>
      <c r="C17" s="376">
        <f t="shared" si="1"/>
        <v>0</v>
      </c>
      <c r="D17" s="374">
        <f>'Cote d''Ivoire'!D73+'Rép du Congo'!D51+Zambie!D65+Indonésie!D63+Myanmar!D58+'Viet Nam'!D52+Colombie!D77+Mexique!D66+Pérou!D72+'Approche paysages'!D66+'Financement et secteur privé'!D44+'Régimes fonciers et peuples aut'!D65+SNSF!D46+'Accord de Paris et ODD'!D64+'Mécanismes de financement REDD+'!D48+'Gestion connaissances et com.'!D63</f>
        <v>0</v>
      </c>
      <c r="E17" s="374">
        <f>'Cote d''Ivoire'!E73+'Rép du Congo'!E51+Zambie!E65+Indonésie!E63+Myanmar!E58+'Viet Nam'!E52+Colombie!E77+Mexique!E66+Pérou!E72+'Approche paysages'!E66+'Financement et secteur privé'!E44+'Régimes fonciers et peuples aut'!E65+SNSF!E46+'Accord de Paris et ODD'!E64+'Mécanismes de financement REDD+'!E48+'Gestion connaissances et com.'!E63</f>
        <v>0</v>
      </c>
      <c r="F17" s="374">
        <f>'Cote d''Ivoire'!F73+'Rép du Congo'!F51+Zambie!F65+Indonésie!F63+Myanmar!F58+'Viet Nam'!F52+Colombie!F77+Mexique!F66+Pérou!F72+'Approche paysages'!F66+'Financement et secteur privé'!F44+'Régimes fonciers et peuples aut'!F65+SNSF!F46+'Accord de Paris et ODD'!F64+'Mécanismes de financement REDD+'!F48+'Gestion connaissances et com.'!F63</f>
        <v>0</v>
      </c>
      <c r="G17" s="276"/>
      <c r="H17" s="276"/>
      <c r="I17" s="276"/>
      <c r="J17" s="276"/>
    </row>
    <row r="18" spans="2:10" ht="20.25" customHeight="1" x14ac:dyDescent="0.15">
      <c r="B18" s="223" t="s">
        <v>66</v>
      </c>
      <c r="C18" s="376">
        <f t="shared" si="1"/>
        <v>30000</v>
      </c>
      <c r="D18" s="374">
        <f>'Cote d''Ivoire'!D74+'Rép du Congo'!D52+Zambie!D66+Indonésie!D64+Myanmar!D59+'Viet Nam'!D53+Colombie!D78+Mexique!D67+Pérou!D73+'Approche paysages'!D67+'Financement et secteur privé'!D45+'Régimes fonciers et peuples aut'!D66+SNSF!D47+'Accord de Paris et ODD'!D65+'Mécanismes de financement REDD+'!D49+'Gestion connaissances et com.'!D64</f>
        <v>0</v>
      </c>
      <c r="E18" s="374">
        <f>'Cote d''Ivoire'!E74+'Rép du Congo'!E52+Zambie!E66+Indonésie!E64+Myanmar!E59+'Viet Nam'!E53+Colombie!E78+Mexique!E67+Pérou!E73+'Approche paysages'!E67+'Financement et secteur privé'!E45+'Régimes fonciers et peuples aut'!E66+SNSF!E47+'Accord de Paris et ODD'!E65+'Mécanismes de financement REDD+'!E49+'Gestion connaissances et com.'!E64</f>
        <v>0</v>
      </c>
      <c r="F18" s="374">
        <f>'Cote d''Ivoire'!F74+'Rép du Congo'!F52+Zambie!F66+Indonésie!F64+Myanmar!F59+'Viet Nam'!F53+Colombie!F78+Mexique!F67+Pérou!F73+'Approche paysages'!F67+'Financement et secteur privé'!F45+'Régimes fonciers et peuples aut'!F66+SNSF!F47+'Accord de Paris et ODD'!F65+'Mécanismes de financement REDD+'!F49+'Gestion connaissances et com.'!F64</f>
        <v>30000</v>
      </c>
      <c r="G18" s="276"/>
      <c r="H18" s="276"/>
      <c r="I18" s="276"/>
      <c r="J18" s="276"/>
    </row>
    <row r="19" spans="2:10" ht="20.25" customHeight="1" x14ac:dyDescent="0.15">
      <c r="B19" s="223" t="s">
        <v>67</v>
      </c>
      <c r="C19" s="376">
        <f t="shared" si="1"/>
        <v>703174.48426077177</v>
      </c>
      <c r="D19" s="374">
        <f>'Cote d''Ivoire'!D75+'Rép du Congo'!D53+Zambie!D67+Indonésie!D65+Myanmar!D60+'Viet Nam'!D54+Colombie!D79+Mexique!D68+Pérou!D74+'Approche paysages'!D68+'Financement et secteur privé'!D46+'Régimes fonciers et peuples aut'!D67+SNSF!D48+'Accord de Paris et ODD'!D66+'Mécanismes de financement REDD+'!D50+'Gestion connaissances et com.'!D65</f>
        <v>125378.03759410507</v>
      </c>
      <c r="E19" s="374">
        <f>'Cote d''Ivoire'!E75+'Rép du Congo'!E53+Zambie!E67+Indonésie!E65+Myanmar!E60+'Viet Nam'!E54+Colombie!E79+Mexique!E68+Pérou!E74+'Approche paysages'!E68+'Financement et secteur privé'!E46+'Régimes fonciers et peuples aut'!E67+SNSF!E48+'Accord de Paris et ODD'!E66+'Mécanismes de financement REDD+'!E50+'Gestion connaissances et com.'!E65</f>
        <v>313033.68</v>
      </c>
      <c r="F19" s="374">
        <f>'Cote d''Ivoire'!F75+'Rép du Congo'!F53+Zambie!F67+Indonésie!F65+Myanmar!F60+'Viet Nam'!F54+Colombie!F79+Mexique!F68+Pérou!F74+'Approche paysages'!F68+'Financement et secteur privé'!F46+'Régimes fonciers et peuples aut'!F67+SNSF!F48+'Accord de Paris et ODD'!F66+'Mécanismes de financement REDD+'!F50+'Gestion connaissances et com.'!F65</f>
        <v>264762.76666666666</v>
      </c>
      <c r="G19" s="276"/>
      <c r="H19" s="276"/>
      <c r="I19" s="276"/>
      <c r="J19" s="276"/>
    </row>
    <row r="20" spans="2:10" ht="20.25" customHeight="1" x14ac:dyDescent="0.15">
      <c r="B20" s="225" t="s">
        <v>68</v>
      </c>
      <c r="C20" s="376">
        <f t="shared" si="1"/>
        <v>0</v>
      </c>
      <c r="D20" s="374">
        <f>'Cote d''Ivoire'!D76+'Rép du Congo'!D54+Zambie!D68+Indonésie!D66+Myanmar!D61+'Viet Nam'!D55+Colombie!D80+Mexique!D69+Pérou!D75+'Approche paysages'!D69+'Financement et secteur privé'!D47+'Régimes fonciers et peuples aut'!D68+SNSF!D49+'Accord de Paris et ODD'!D67+'Mécanismes de financement REDD+'!D51+'Gestion connaissances et com.'!D66</f>
        <v>0</v>
      </c>
      <c r="E20" s="374">
        <f>'Cote d''Ivoire'!E76+'Rép du Congo'!E54+Zambie!E68+Indonésie!E66+Myanmar!E61+'Viet Nam'!E55+Colombie!E80+Mexique!E69+Pérou!E75+'Approche paysages'!E69+'Financement et secteur privé'!E47+'Régimes fonciers et peuples aut'!E68+SNSF!E49+'Accord de Paris et ODD'!E67+'Mécanismes de financement REDD+'!E51+'Gestion connaissances et com.'!E66</f>
        <v>0</v>
      </c>
      <c r="F20" s="374">
        <f>'Cote d''Ivoire'!F76+'Rép du Congo'!F54+Zambie!F68+Indonésie!F66+Myanmar!F61+'Viet Nam'!F55+Colombie!F80+Mexique!F69+Pérou!F75+'Approche paysages'!F69+'Financement et secteur privé'!F47+'Régimes fonciers et peuples aut'!F68+SNSF!F49+'Accord de Paris et ODD'!F67+'Mécanismes de financement REDD+'!F51+'Gestion connaissances et com.'!F66</f>
        <v>0</v>
      </c>
      <c r="G20" s="276"/>
      <c r="H20" s="276"/>
      <c r="I20" s="276"/>
      <c r="J20" s="276"/>
    </row>
    <row r="21" spans="2:10" ht="20.25" customHeight="1" x14ac:dyDescent="0.15">
      <c r="B21" s="225" t="s">
        <v>69</v>
      </c>
      <c r="C21" s="376">
        <f>D21+E21+F21</f>
        <v>588599.82158772857</v>
      </c>
      <c r="D21" s="374">
        <f>'Cote d''Ivoire'!D77+'Rép du Congo'!D55+Zambie!D69+Indonésie!D67+Myanmar!D62+'Viet Nam'!D56+Colombie!D81+Mexique!D70+Pérou!D76+'Approche paysages'!D70+'Financement et secteur privé'!D48+'Régimes fonciers et peuples aut'!D69+SNSF!D50+'Accord de Paris et ODD'!D68+'Mécanismes de financement REDD+'!D52+'Gestion connaissances et com.'!D67</f>
        <v>51823.011587728623</v>
      </c>
      <c r="E21" s="374">
        <f>'Cote d''Ivoire'!E77+'Rép du Congo'!E55+Zambie!E69+Indonésie!E67+Myanmar!E62+'Viet Nam'!E56+Colombie!E81+Mexique!E70+Pérou!E76+'Approche paysages'!E70+'Financement et secteur privé'!E48+'Régimes fonciers et peuples aut'!E69+SNSF!E50+'Accord de Paris et ODD'!E68+'Mécanismes de financement REDD+'!E52+'Gestion connaissances et com.'!E67</f>
        <v>336776.81</v>
      </c>
      <c r="F21" s="374">
        <f>'Cote d''Ivoire'!F77+'Rép du Congo'!F55+Zambie!F69+Indonésie!F67+Myanmar!F62+'Viet Nam'!F56+Colombie!F81+Mexique!F70+Pérou!F76+'Approche paysages'!F70+'Financement et secteur privé'!F48+'Régimes fonciers et peuples aut'!F69+SNSF!F50+'Accord de Paris et ODD'!F68+'Mécanismes de financement REDD+'!F52+'Gestion connaissances et com.'!F67</f>
        <v>200000</v>
      </c>
      <c r="G21" s="276"/>
      <c r="H21" s="276"/>
      <c r="I21" s="276"/>
      <c r="J21" s="276"/>
    </row>
    <row r="22" spans="2:10" ht="20.25" customHeight="1" x14ac:dyDescent="0.15">
      <c r="B22" s="278" t="s">
        <v>74</v>
      </c>
      <c r="C22" s="377">
        <f>SUM(C15:C21)</f>
        <v>6343991.4874135824</v>
      </c>
      <c r="D22" s="377">
        <f>SUM(D15:D21)</f>
        <v>1099488.7307469163</v>
      </c>
      <c r="E22" s="377">
        <f>SUM(E15:E21)</f>
        <v>3383578.8900000006</v>
      </c>
      <c r="F22" s="377">
        <f>SUM(F15:F21)</f>
        <v>1860923.8666666667</v>
      </c>
      <c r="G22" s="276"/>
      <c r="H22" s="276"/>
      <c r="I22" s="276"/>
      <c r="J22" s="276"/>
    </row>
    <row r="23" spans="2:10" ht="20.25" customHeight="1" x14ac:dyDescent="0.15">
      <c r="B23" s="279" t="s">
        <v>75</v>
      </c>
      <c r="C23" s="378">
        <f>C22+C12</f>
        <v>8777398.4291941188</v>
      </c>
      <c r="D23" s="366">
        <f>D22+D12</f>
        <v>2865895.672527452</v>
      </c>
      <c r="E23" s="366">
        <f>E22+E12</f>
        <v>3383578.8900000006</v>
      </c>
      <c r="F23" s="366">
        <f>F22+F12</f>
        <v>2527923.8666666667</v>
      </c>
      <c r="G23" s="276"/>
      <c r="H23" s="276"/>
      <c r="I23" s="276"/>
      <c r="J23" s="276"/>
    </row>
    <row r="24" spans="2:10" ht="20.25" customHeight="1" x14ac:dyDescent="0.15">
      <c r="B24" s="279" t="s">
        <v>76</v>
      </c>
      <c r="C24" s="366">
        <f>C23*0.07</f>
        <v>614417.89004358836</v>
      </c>
      <c r="D24" s="366">
        <f>D23*0.07</f>
        <v>200612.69707692167</v>
      </c>
      <c r="E24" s="366">
        <f>E23*0.07</f>
        <v>236850.52230000007</v>
      </c>
      <c r="F24" s="366">
        <f>F23*0.07</f>
        <v>176954.67066666667</v>
      </c>
      <c r="G24" s="276"/>
      <c r="H24" s="276"/>
      <c r="I24" s="276"/>
      <c r="J24" s="276"/>
    </row>
    <row r="25" spans="2:10" ht="20.25" customHeight="1" x14ac:dyDescent="0.15">
      <c r="B25" s="280" t="s">
        <v>42</v>
      </c>
      <c r="C25" s="379">
        <f>C23+C24</f>
        <v>9391816.3192377072</v>
      </c>
      <c r="D25" s="379">
        <f>D23+D24</f>
        <v>3066508.3696043738</v>
      </c>
      <c r="E25" s="379">
        <f>E23+E24</f>
        <v>3620429.4123000009</v>
      </c>
      <c r="F25" s="379">
        <f>F23+F24</f>
        <v>2704878.5373333334</v>
      </c>
      <c r="G25" s="276"/>
      <c r="H25" s="276"/>
      <c r="I25" s="276"/>
      <c r="J25" s="276"/>
    </row>
    <row r="27" spans="2:10" x14ac:dyDescent="0.15">
      <c r="E27" s="282"/>
    </row>
    <row r="28" spans="2:10" x14ac:dyDescent="0.15">
      <c r="B28" s="285" t="s">
        <v>63</v>
      </c>
      <c r="C28" s="284" t="s">
        <v>60</v>
      </c>
      <c r="E28" s="282"/>
    </row>
    <row r="29" spans="2:10" ht="24.75" customHeight="1" x14ac:dyDescent="0.15">
      <c r="B29" s="285" t="s">
        <v>64</v>
      </c>
      <c r="C29" s="380">
        <f>C5+C15</f>
        <v>7032568.471903624</v>
      </c>
      <c r="E29" s="282"/>
    </row>
    <row r="30" spans="2:10" ht="23.25" customHeight="1" x14ac:dyDescent="0.15">
      <c r="B30" s="285" t="s">
        <v>65</v>
      </c>
      <c r="C30" s="380">
        <f>C6+C16</f>
        <v>0</v>
      </c>
      <c r="E30" s="282"/>
    </row>
    <row r="31" spans="2:10" x14ac:dyDescent="0.15">
      <c r="B31" s="285" t="s">
        <v>66</v>
      </c>
      <c r="C31" s="380">
        <f>C7+C17</f>
        <v>0</v>
      </c>
      <c r="E31" s="282"/>
    </row>
    <row r="32" spans="2:10" ht="22.5" customHeight="1" x14ac:dyDescent="0.15">
      <c r="B32" s="286" t="s">
        <v>67</v>
      </c>
      <c r="C32" s="381">
        <f>C8+C18</f>
        <v>30000</v>
      </c>
      <c r="E32" s="282"/>
    </row>
    <row r="33" spans="2:5" ht="20.25" customHeight="1" x14ac:dyDescent="0.15">
      <c r="B33" s="286" t="s">
        <v>69</v>
      </c>
      <c r="C33" s="381">
        <f>C9+C19</f>
        <v>977025.56550720346</v>
      </c>
      <c r="E33" s="282"/>
    </row>
    <row r="34" spans="2:5" ht="19.5" customHeight="1" x14ac:dyDescent="0.15">
      <c r="B34" s="286" t="s">
        <v>77</v>
      </c>
      <c r="C34" s="381">
        <f>C11+C21</f>
        <v>737804.39178329147</v>
      </c>
      <c r="E34" s="282"/>
    </row>
    <row r="35" spans="2:5" ht="19.5" customHeight="1" x14ac:dyDescent="0.15">
      <c r="B35" s="286" t="s">
        <v>355</v>
      </c>
      <c r="C35" s="382">
        <f>SUM(C29:C34)</f>
        <v>8777398.4291941188</v>
      </c>
      <c r="E35" s="282"/>
    </row>
    <row r="36" spans="2:5" ht="15.75" customHeight="1" x14ac:dyDescent="0.15">
      <c r="B36" s="286" t="s">
        <v>78</v>
      </c>
      <c r="C36" s="381">
        <f>0.07*C35</f>
        <v>614417.89004358836</v>
      </c>
      <c r="E36" s="282"/>
    </row>
    <row r="37" spans="2:5" ht="19.5" customHeight="1" x14ac:dyDescent="0.15">
      <c r="B37" s="283" t="s">
        <v>51</v>
      </c>
      <c r="C37" s="383">
        <f>SUM(C35:C36)</f>
        <v>9391816.3192377072</v>
      </c>
      <c r="E37" s="282"/>
    </row>
  </sheetData>
  <mergeCells count="3">
    <mergeCell ref="B3:F3"/>
    <mergeCell ref="B13:F13"/>
    <mergeCell ref="B2:F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opLeftCell="A13" zoomScale="125" zoomScaleNormal="125" zoomScalePageLayoutView="125" workbookViewId="0">
      <selection activeCell="B35" sqref="B35"/>
    </sheetView>
  </sheetViews>
  <sheetFormatPr baseColWidth="10" defaultColWidth="9.1640625" defaultRowHeight="12" x14ac:dyDescent="0.15"/>
  <cols>
    <col min="1" max="1" width="9.1640625" style="249"/>
    <col min="2" max="2" width="36" style="249" customWidth="1"/>
    <col min="3" max="4" width="10.83203125" style="249" customWidth="1"/>
    <col min="5" max="5" width="10.5" style="249" customWidth="1"/>
    <col min="6" max="6" width="11.5" style="249" customWidth="1"/>
    <col min="7" max="7" width="9.6640625" style="249" customWidth="1"/>
    <col min="8" max="8" width="10.5" style="249" customWidth="1"/>
    <col min="9" max="9" width="9.6640625" style="249" customWidth="1"/>
    <col min="10" max="10" width="10.83203125" style="249" customWidth="1"/>
    <col min="11" max="14" width="9.6640625" style="249" customWidth="1"/>
    <col min="15" max="16" width="14.5" style="249" customWidth="1"/>
    <col min="17" max="17" width="9.6640625" style="249" bestFit="1" customWidth="1"/>
    <col min="18" max="18" width="10.83203125" style="249" customWidth="1"/>
    <col min="19" max="19" width="10.33203125" style="249" bestFit="1" customWidth="1"/>
    <col min="20" max="16384" width="9.1640625" style="249"/>
  </cols>
  <sheetData>
    <row r="2" spans="2:15" ht="35.25" customHeight="1" x14ac:dyDescent="0.15">
      <c r="B2" s="570" t="s">
        <v>0</v>
      </c>
      <c r="C2" s="572" t="s">
        <v>97</v>
      </c>
      <c r="D2" s="573"/>
      <c r="E2" s="573"/>
      <c r="F2" s="574"/>
      <c r="G2" s="575" t="s">
        <v>98</v>
      </c>
      <c r="H2" s="576"/>
      <c r="I2" s="576"/>
      <c r="J2" s="577"/>
      <c r="K2" s="572" t="s">
        <v>99</v>
      </c>
      <c r="L2" s="573"/>
      <c r="M2" s="573"/>
      <c r="N2" s="574"/>
      <c r="O2" s="578" t="s">
        <v>42</v>
      </c>
    </row>
    <row r="3" spans="2:15" x14ac:dyDescent="0.15">
      <c r="B3" s="571"/>
      <c r="C3" s="251" t="s">
        <v>2</v>
      </c>
      <c r="D3" s="252" t="s">
        <v>71</v>
      </c>
      <c r="E3" s="253" t="s">
        <v>72</v>
      </c>
      <c r="F3" s="254" t="s">
        <v>1</v>
      </c>
      <c r="G3" s="264" t="s">
        <v>2</v>
      </c>
      <c r="H3" s="463" t="s">
        <v>71</v>
      </c>
      <c r="I3" s="464" t="s">
        <v>72</v>
      </c>
      <c r="J3" s="265" t="s">
        <v>1</v>
      </c>
      <c r="K3" s="264" t="s">
        <v>2</v>
      </c>
      <c r="L3" s="463" t="s">
        <v>71</v>
      </c>
      <c r="M3" s="464" t="s">
        <v>72</v>
      </c>
      <c r="N3" s="265" t="s">
        <v>1</v>
      </c>
      <c r="O3" s="578"/>
    </row>
    <row r="4" spans="2:15" x14ac:dyDescent="0.15">
      <c r="B4" s="266" t="s">
        <v>79</v>
      </c>
      <c r="C4" s="324">
        <f t="shared" ref="C4:N4" si="0">C5+C9+C13</f>
        <v>1988598</v>
      </c>
      <c r="D4" s="325">
        <f t="shared" si="0"/>
        <v>1891720</v>
      </c>
      <c r="E4" s="325">
        <f t="shared" si="0"/>
        <v>657924</v>
      </c>
      <c r="F4" s="326">
        <f t="shared" si="0"/>
        <v>4538242</v>
      </c>
      <c r="G4" s="327">
        <f t="shared" si="0"/>
        <v>1988598.0495837552</v>
      </c>
      <c r="H4" s="328">
        <f t="shared" si="0"/>
        <v>1827518.3900000001</v>
      </c>
      <c r="I4" s="328">
        <f t="shared" si="0"/>
        <v>657923.8666666667</v>
      </c>
      <c r="J4" s="328">
        <f t="shared" si="0"/>
        <v>4474040.3062504213</v>
      </c>
      <c r="K4" s="327">
        <f t="shared" si="0"/>
        <v>1988598.0495837552</v>
      </c>
      <c r="L4" s="328">
        <f t="shared" si="0"/>
        <v>1827518.3900000001</v>
      </c>
      <c r="M4" s="328">
        <f t="shared" si="0"/>
        <v>657923.8666666667</v>
      </c>
      <c r="N4" s="329">
        <f t="shared" si="0"/>
        <v>4474040.3062504213</v>
      </c>
      <c r="O4" s="330">
        <f>F4+J4+N4</f>
        <v>13486322.612500843</v>
      </c>
    </row>
    <row r="5" spans="2:15" ht="20.25" customHeight="1" x14ac:dyDescent="0.15">
      <c r="B5" s="267" t="s">
        <v>80</v>
      </c>
      <c r="C5" s="331">
        <f>SUM(C6:C8)</f>
        <v>660336</v>
      </c>
      <c r="D5" s="332">
        <f>SUM(D6:D8)</f>
        <v>439580</v>
      </c>
      <c r="E5" s="332">
        <f>SUM(E6:E8)</f>
        <v>189300</v>
      </c>
      <c r="F5" s="333">
        <f>SUM(F6:F8)</f>
        <v>1289216</v>
      </c>
      <c r="G5" s="331">
        <f>G6+G7+G8</f>
        <v>660336.17367055023</v>
      </c>
      <c r="H5" s="331">
        <f>H6+H7+H8</f>
        <v>372878.08999999997</v>
      </c>
      <c r="I5" s="331">
        <f>I6+I7+I8</f>
        <v>189300</v>
      </c>
      <c r="J5" s="331">
        <f>J6+J7+J8</f>
        <v>1222514.2636705502</v>
      </c>
      <c r="K5" s="331">
        <f>SUM(K6:K8)</f>
        <v>660336.17367055023</v>
      </c>
      <c r="L5" s="332">
        <f>SUM(L6:L8)</f>
        <v>372878.08999999997</v>
      </c>
      <c r="M5" s="332">
        <f>SUM(M6:M8)</f>
        <v>189300</v>
      </c>
      <c r="N5" s="333">
        <f t="shared" ref="N5:N16" si="1">SUM(K5:M5)</f>
        <v>1222514.2636705502</v>
      </c>
      <c r="O5" s="334">
        <f>F5+J5+N5</f>
        <v>3734244.5273411004</v>
      </c>
    </row>
    <row r="6" spans="2:15" ht="20.25" customHeight="1" x14ac:dyDescent="0.15">
      <c r="B6" s="268" t="s">
        <v>81</v>
      </c>
      <c r="C6" s="335">
        <v>202402</v>
      </c>
      <c r="D6" s="336">
        <v>366540</v>
      </c>
      <c r="E6" s="336">
        <v>95000</v>
      </c>
      <c r="F6" s="337">
        <f>SUM(C6:E6)</f>
        <v>663942</v>
      </c>
      <c r="G6" s="338">
        <f>'Comparaison 2020 '!J6</f>
        <v>202401.95069516427</v>
      </c>
      <c r="H6" s="338">
        <f>'Comparaison 2020 '!K6</f>
        <v>338859.49</v>
      </c>
      <c r="I6" s="338">
        <f>'Comparaison 2020 '!L6</f>
        <v>129000</v>
      </c>
      <c r="J6" s="338">
        <f>G6+H6+I6</f>
        <v>670261.44069516426</v>
      </c>
      <c r="K6" s="338">
        <f>'Comparaison 2020 '!J6</f>
        <v>202401.95069516427</v>
      </c>
      <c r="L6" s="339">
        <f>'Comparaison 2020 '!K6</f>
        <v>338859.49</v>
      </c>
      <c r="M6" s="339">
        <f>'Comparaison 2020 '!L6</f>
        <v>129000</v>
      </c>
      <c r="N6" s="340">
        <f t="shared" si="1"/>
        <v>670261.44069516426</v>
      </c>
      <c r="O6" s="341">
        <f t="shared" ref="O6:O16" si="2">F6+J6+N6</f>
        <v>2004464.8813903285</v>
      </c>
    </row>
    <row r="7" spans="2:15" ht="20.25" customHeight="1" x14ac:dyDescent="0.15">
      <c r="B7" s="268" t="s">
        <v>82</v>
      </c>
      <c r="C7" s="335">
        <v>240352</v>
      </c>
      <c r="D7" s="336">
        <v>0</v>
      </c>
      <c r="E7" s="336">
        <v>0</v>
      </c>
      <c r="F7" s="337">
        <f>SUM(C7:E7)</f>
        <v>240352</v>
      </c>
      <c r="G7" s="338">
        <f>'Comparaison 2020 '!J7</f>
        <v>240352.22297538599</v>
      </c>
      <c r="H7" s="338">
        <f>'Comparaison 2020 '!K7</f>
        <v>0</v>
      </c>
      <c r="I7" s="338">
        <f>'Comparaison 2020 '!L7</f>
        <v>0</v>
      </c>
      <c r="J7" s="338">
        <f t="shared" ref="J7:J24" si="3">G7+H7+I7</f>
        <v>240352.22297538599</v>
      </c>
      <c r="K7" s="338">
        <f>'Comparaison 2020 '!J7</f>
        <v>240352.22297538599</v>
      </c>
      <c r="L7" s="339">
        <f>'Comparaison 2020 '!K7</f>
        <v>0</v>
      </c>
      <c r="M7" s="339">
        <f>'Comparaison 2020 '!L7</f>
        <v>0</v>
      </c>
      <c r="N7" s="340">
        <f t="shared" si="1"/>
        <v>240352.22297538599</v>
      </c>
      <c r="O7" s="341">
        <f t="shared" si="2"/>
        <v>721056.44595077191</v>
      </c>
    </row>
    <row r="8" spans="2:15" ht="20.25" customHeight="1" x14ac:dyDescent="0.15">
      <c r="B8" s="268" t="s">
        <v>83</v>
      </c>
      <c r="C8" s="335">
        <v>217582</v>
      </c>
      <c r="D8" s="336">
        <v>73040</v>
      </c>
      <c r="E8" s="336">
        <v>94300</v>
      </c>
      <c r="F8" s="337">
        <f>SUM(C8:E8)</f>
        <v>384922</v>
      </c>
      <c r="G8" s="338">
        <f>'Comparaison 2020 '!J8</f>
        <v>217582</v>
      </c>
      <c r="H8" s="338">
        <f>'Comparaison 2020 '!K8</f>
        <v>34018.6</v>
      </c>
      <c r="I8" s="338">
        <f>'Comparaison 2020 '!L8</f>
        <v>60300</v>
      </c>
      <c r="J8" s="338">
        <f t="shared" si="3"/>
        <v>311900.59999999998</v>
      </c>
      <c r="K8" s="338">
        <f>'Comparaison 2020 '!J8</f>
        <v>217582</v>
      </c>
      <c r="L8" s="339">
        <f>'Comparaison 2020 '!K8</f>
        <v>34018.6</v>
      </c>
      <c r="M8" s="339">
        <f>'Comparaison 2020 '!L8</f>
        <v>60300</v>
      </c>
      <c r="N8" s="340">
        <f t="shared" si="1"/>
        <v>311900.59999999998</v>
      </c>
      <c r="O8" s="341">
        <f t="shared" si="2"/>
        <v>1008723.2</v>
      </c>
    </row>
    <row r="9" spans="2:15" ht="20.25" customHeight="1" x14ac:dyDescent="0.15">
      <c r="B9" s="269" t="s">
        <v>84</v>
      </c>
      <c r="C9" s="342">
        <f>SUM(C10:C12)</f>
        <v>834908</v>
      </c>
      <c r="D9" s="343">
        <f>SUM(D10:D12)</f>
        <v>533960</v>
      </c>
      <c r="E9" s="343">
        <f>SUM(E10:E12)</f>
        <v>231000</v>
      </c>
      <c r="F9" s="344">
        <f>SUM(F10:F12)</f>
        <v>1599868</v>
      </c>
      <c r="G9" s="345">
        <f>G10+G11+G12</f>
        <v>834907.08446736168</v>
      </c>
      <c r="H9" s="345">
        <f>H10+H11+H12</f>
        <v>547800.96</v>
      </c>
      <c r="I9" s="345">
        <f>I10+I11+I12</f>
        <v>231000</v>
      </c>
      <c r="J9" s="345">
        <f>J10+J11+J12</f>
        <v>1613708.0444673616</v>
      </c>
      <c r="K9" s="345">
        <f>SUM(K10:K12)</f>
        <v>834907.08446736168</v>
      </c>
      <c r="L9" s="346">
        <f>SUM(L10:L12)</f>
        <v>547800.96</v>
      </c>
      <c r="M9" s="346">
        <f>SUM(M10:M12)</f>
        <v>231000</v>
      </c>
      <c r="N9" s="344">
        <f t="shared" si="1"/>
        <v>1613708.0444673616</v>
      </c>
      <c r="O9" s="334">
        <f t="shared" si="2"/>
        <v>4827284.0889347233</v>
      </c>
    </row>
    <row r="10" spans="2:15" ht="20.25" customHeight="1" x14ac:dyDescent="0.15">
      <c r="B10" s="268" t="s">
        <v>85</v>
      </c>
      <c r="C10" s="335">
        <v>442755</v>
      </c>
      <c r="D10" s="336">
        <v>241800</v>
      </c>
      <c r="E10" s="336">
        <v>185000</v>
      </c>
      <c r="F10" s="337">
        <f>SUM(C10:E10)</f>
        <v>869555</v>
      </c>
      <c r="G10" s="338">
        <f>'Comparaison 2020 '!J10</f>
        <v>442754</v>
      </c>
      <c r="H10" s="338">
        <f>'Comparaison 2020 '!K10</f>
        <v>191440.09</v>
      </c>
      <c r="I10" s="338">
        <f>'Comparaison 2020 '!L10</f>
        <v>185000</v>
      </c>
      <c r="J10" s="338">
        <f t="shared" si="3"/>
        <v>819194.09</v>
      </c>
      <c r="K10" s="338">
        <f>'Comparaison 2020 '!J10</f>
        <v>442754</v>
      </c>
      <c r="L10" s="339">
        <f>'Comparaison 2020 '!K10</f>
        <v>191440.09</v>
      </c>
      <c r="M10" s="339">
        <f>'Comparaison 2020 '!L10</f>
        <v>185000</v>
      </c>
      <c r="N10" s="340">
        <f t="shared" si="1"/>
        <v>819194.09</v>
      </c>
      <c r="O10" s="341">
        <f t="shared" si="2"/>
        <v>2507943.1799999997</v>
      </c>
    </row>
    <row r="11" spans="2:15" ht="20.25" customHeight="1" x14ac:dyDescent="0.15">
      <c r="B11" s="268" t="s">
        <v>12</v>
      </c>
      <c r="C11" s="335">
        <v>189751</v>
      </c>
      <c r="D11" s="336">
        <v>157420</v>
      </c>
      <c r="E11" s="336">
        <v>46000</v>
      </c>
      <c r="F11" s="337">
        <f>SUM(C11:E11)</f>
        <v>393171</v>
      </c>
      <c r="G11" s="338">
        <f>'Comparaison 2020 '!J11</f>
        <v>189751.49287153562</v>
      </c>
      <c r="H11" s="338">
        <f>'Comparaison 2020 '!K11</f>
        <v>207780.27</v>
      </c>
      <c r="I11" s="338">
        <f>'Comparaison 2020 '!L11</f>
        <v>46000</v>
      </c>
      <c r="J11" s="338">
        <f t="shared" si="3"/>
        <v>443531.76287153561</v>
      </c>
      <c r="K11" s="338">
        <f>'Comparaison 2020 '!J11</f>
        <v>189751.49287153562</v>
      </c>
      <c r="L11" s="339">
        <f>'Comparaison 2020 '!K11</f>
        <v>207780.27</v>
      </c>
      <c r="M11" s="339">
        <f>'Comparaison 2020 '!L11</f>
        <v>46000</v>
      </c>
      <c r="N11" s="340">
        <f t="shared" si="1"/>
        <v>443531.76287153561</v>
      </c>
      <c r="O11" s="341">
        <f t="shared" si="2"/>
        <v>1280234.5257430712</v>
      </c>
    </row>
    <row r="12" spans="2:15" ht="20.25" customHeight="1" x14ac:dyDescent="0.15">
      <c r="B12" s="268" t="s">
        <v>13</v>
      </c>
      <c r="C12" s="335">
        <v>202402</v>
      </c>
      <c r="D12" s="336">
        <v>134740</v>
      </c>
      <c r="E12" s="336"/>
      <c r="F12" s="337">
        <f>SUM(C12:E12)</f>
        <v>337142</v>
      </c>
      <c r="G12" s="338">
        <f>'Comparaison 2020 '!J12</f>
        <v>202401.59159582609</v>
      </c>
      <c r="H12" s="338">
        <f>'Comparaison 2020 '!K12</f>
        <v>148580.6</v>
      </c>
      <c r="I12" s="338">
        <f>'Comparaison 2020 '!L12</f>
        <v>0</v>
      </c>
      <c r="J12" s="338">
        <f t="shared" si="3"/>
        <v>350982.19159582607</v>
      </c>
      <c r="K12" s="338">
        <f>'Comparaison 2020 '!J12</f>
        <v>202401.59159582609</v>
      </c>
      <c r="L12" s="339">
        <f>'Comparaison 2020 '!K12</f>
        <v>148580.6</v>
      </c>
      <c r="M12" s="339">
        <f>'Comparaison 2020 '!L12</f>
        <v>0</v>
      </c>
      <c r="N12" s="340">
        <f t="shared" si="1"/>
        <v>350982.19159582607</v>
      </c>
      <c r="O12" s="341">
        <f t="shared" si="2"/>
        <v>1039106.3831916521</v>
      </c>
    </row>
    <row r="13" spans="2:15" ht="20.25" customHeight="1" x14ac:dyDescent="0.15">
      <c r="B13" s="269" t="s">
        <v>14</v>
      </c>
      <c r="C13" s="342">
        <f>SUM(C14:C16)</f>
        <v>493354</v>
      </c>
      <c r="D13" s="343">
        <f>SUM(D14:D16)</f>
        <v>918180</v>
      </c>
      <c r="E13" s="343">
        <f>SUM(E14:E16)</f>
        <v>237624</v>
      </c>
      <c r="F13" s="344">
        <f>SUM(F14:F16)</f>
        <v>1649158</v>
      </c>
      <c r="G13" s="345">
        <f>G14+G15+G16</f>
        <v>493354.79144584312</v>
      </c>
      <c r="H13" s="345">
        <f>H14+H15+H16</f>
        <v>906839.34000000008</v>
      </c>
      <c r="I13" s="345">
        <f>I14+I15+I16</f>
        <v>237623.86666666667</v>
      </c>
      <c r="J13" s="345">
        <f>J14+J15+J16</f>
        <v>1637817.9981125097</v>
      </c>
      <c r="K13" s="345">
        <f>SUM(K14:K16)</f>
        <v>493354.79144584312</v>
      </c>
      <c r="L13" s="346">
        <f>SUM(L14:L16)</f>
        <v>906839.34000000008</v>
      </c>
      <c r="M13" s="346">
        <f>SUM(M14:M16)</f>
        <v>237623.86666666667</v>
      </c>
      <c r="N13" s="344">
        <f t="shared" si="1"/>
        <v>1637817.99811251</v>
      </c>
      <c r="O13" s="334">
        <f t="shared" si="2"/>
        <v>4924793.9962250199</v>
      </c>
    </row>
    <row r="14" spans="2:15" ht="20.25" customHeight="1" x14ac:dyDescent="0.15">
      <c r="B14" s="268" t="s">
        <v>86</v>
      </c>
      <c r="C14" s="335">
        <v>227702</v>
      </c>
      <c r="D14" s="336">
        <v>227960</v>
      </c>
      <c r="E14" s="336">
        <v>58903</v>
      </c>
      <c r="F14" s="337">
        <f>SUM(C14:E14)</f>
        <v>514565</v>
      </c>
      <c r="G14" s="338">
        <f>'Comparaison 2020 '!J14</f>
        <v>227701.79144584312</v>
      </c>
      <c r="H14" s="338">
        <f>'Comparaison 2020 '!K14</f>
        <v>253139.55</v>
      </c>
      <c r="I14" s="338">
        <f>'Comparaison 2020 '!L14</f>
        <v>58903.199999999997</v>
      </c>
      <c r="J14" s="339">
        <f t="shared" si="3"/>
        <v>539744.54144584306</v>
      </c>
      <c r="K14" s="338">
        <f>'Comparaison 2020 '!J14</f>
        <v>227701.79144584312</v>
      </c>
      <c r="L14" s="339">
        <f>'Comparaison 2020 '!K14</f>
        <v>253139.55</v>
      </c>
      <c r="M14" s="339">
        <f>'Comparaison 2020 '!L14</f>
        <v>58903.199999999997</v>
      </c>
      <c r="N14" s="340">
        <f t="shared" si="1"/>
        <v>539744.54144584306</v>
      </c>
      <c r="O14" s="341">
        <f t="shared" si="2"/>
        <v>1594054.0828916859</v>
      </c>
    </row>
    <row r="15" spans="2:15" ht="20.25" customHeight="1" x14ac:dyDescent="0.15">
      <c r="B15" s="268" t="s">
        <v>87</v>
      </c>
      <c r="C15" s="335">
        <v>151801</v>
      </c>
      <c r="D15" s="336">
        <v>289660</v>
      </c>
      <c r="E15" s="336">
        <v>85126</v>
      </c>
      <c r="F15" s="337">
        <f>SUM(C15:E15)</f>
        <v>526587</v>
      </c>
      <c r="G15" s="338">
        <f>'Comparaison 2020 '!J15</f>
        <v>151801</v>
      </c>
      <c r="H15" s="338">
        <f>'Comparaison 2020 '!K15</f>
        <v>239299.99000000002</v>
      </c>
      <c r="I15" s="338">
        <f>'Comparaison 2020 '!L15</f>
        <v>85125.666666666672</v>
      </c>
      <c r="J15" s="339">
        <f t="shared" si="3"/>
        <v>476226.65666666668</v>
      </c>
      <c r="K15" s="338">
        <f>'Comparaison 2020 '!J15</f>
        <v>151801</v>
      </c>
      <c r="L15" s="339">
        <f>'Comparaison 2020 '!K15</f>
        <v>239299.99000000002</v>
      </c>
      <c r="M15" s="339">
        <f>'Comparaison 2020 '!L15</f>
        <v>85125.666666666672</v>
      </c>
      <c r="N15" s="340">
        <f t="shared" si="1"/>
        <v>476226.65666666668</v>
      </c>
      <c r="O15" s="341">
        <f t="shared" si="2"/>
        <v>1479040.3133333335</v>
      </c>
    </row>
    <row r="16" spans="2:15" ht="20.25" customHeight="1" x14ac:dyDescent="0.15">
      <c r="B16" s="268" t="s">
        <v>88</v>
      </c>
      <c r="C16" s="335">
        <v>113851</v>
      </c>
      <c r="D16" s="336">
        <v>400560</v>
      </c>
      <c r="E16" s="347">
        <v>93595</v>
      </c>
      <c r="F16" s="337">
        <f>SUM(C16:E16)</f>
        <v>608006</v>
      </c>
      <c r="G16" s="338">
        <f>'Comparaison 2020 '!J16</f>
        <v>113852</v>
      </c>
      <c r="H16" s="338">
        <f>'Comparaison 2020 '!K16</f>
        <v>414399.8</v>
      </c>
      <c r="I16" s="338">
        <f>'Comparaison 2020 '!L16</f>
        <v>93595</v>
      </c>
      <c r="J16" s="339">
        <f t="shared" si="3"/>
        <v>621846.80000000005</v>
      </c>
      <c r="K16" s="338">
        <f>'Comparaison 2020 '!J16</f>
        <v>113852</v>
      </c>
      <c r="L16" s="339">
        <f>'Comparaison 2020 '!K16</f>
        <v>414399.8</v>
      </c>
      <c r="M16" s="339">
        <f>'Comparaison 2020 '!L16</f>
        <v>93595</v>
      </c>
      <c r="N16" s="348">
        <f t="shared" si="1"/>
        <v>621846.80000000005</v>
      </c>
      <c r="O16" s="341">
        <f t="shared" si="2"/>
        <v>1851699.6</v>
      </c>
    </row>
    <row r="17" spans="2:15" ht="20.25" customHeight="1" x14ac:dyDescent="0.15">
      <c r="B17" s="270" t="s">
        <v>89</v>
      </c>
      <c r="C17" s="349">
        <f>SUM(C18:C24)</f>
        <v>817298</v>
      </c>
      <c r="D17" s="350">
        <f t="shared" ref="D17:M17" si="4">SUM(D18:D24)</f>
        <v>1488020</v>
      </c>
      <c r="E17" s="350">
        <f t="shared" si="4"/>
        <v>1870000</v>
      </c>
      <c r="F17" s="351">
        <f t="shared" si="4"/>
        <v>4175318</v>
      </c>
      <c r="G17" s="349">
        <f>G18+G19+G20+G21+G22+G23+G24</f>
        <v>877297.62294369668</v>
      </c>
      <c r="H17" s="349">
        <f>H18+H19+H20+H21+H22+H23+H24</f>
        <v>1556060.5</v>
      </c>
      <c r="I17" s="349">
        <f>I18+I19+I20+I21+I22+I23+I24</f>
        <v>1870000</v>
      </c>
      <c r="J17" s="349">
        <f>J18+J19+J20+J21+J22+J23+J24</f>
        <v>4303358.1229436966</v>
      </c>
      <c r="K17" s="349">
        <f t="shared" si="4"/>
        <v>877297.62294369668</v>
      </c>
      <c r="L17" s="350">
        <f t="shared" si="4"/>
        <v>1556060.5</v>
      </c>
      <c r="M17" s="350">
        <f t="shared" si="4"/>
        <v>1870000</v>
      </c>
      <c r="N17" s="351">
        <f>SUM(N18:N24)</f>
        <v>4303358.1229436966</v>
      </c>
      <c r="O17" s="352">
        <f>F17+J17+N17</f>
        <v>12782034.245887391</v>
      </c>
    </row>
    <row r="18" spans="2:15" ht="20.25" customHeight="1" x14ac:dyDescent="0.15">
      <c r="B18" s="268" t="s">
        <v>269</v>
      </c>
      <c r="C18" s="353">
        <v>210152</v>
      </c>
      <c r="D18" s="354"/>
      <c r="E18" s="354">
        <v>94000</v>
      </c>
      <c r="F18" s="355">
        <f>SUM(C18:E18)</f>
        <v>304152</v>
      </c>
      <c r="G18" s="338">
        <f>'Comparaison 2020 '!J18</f>
        <v>210151.95502079604</v>
      </c>
      <c r="H18" s="338">
        <f>'Comparaison 2020 '!K18</f>
        <v>0</v>
      </c>
      <c r="I18" s="338">
        <f>'Comparaison 2020 '!L18</f>
        <v>94000</v>
      </c>
      <c r="J18" s="339">
        <f t="shared" si="3"/>
        <v>304151.95502079604</v>
      </c>
      <c r="K18" s="338">
        <f>'Comparaison 2020 '!J18</f>
        <v>210151.95502079604</v>
      </c>
      <c r="L18" s="339">
        <f>'Comparaison 2020 '!K18</f>
        <v>0</v>
      </c>
      <c r="M18" s="339">
        <f>'Comparaison 2020 '!L18</f>
        <v>94000</v>
      </c>
      <c r="N18" s="348">
        <f t="shared" ref="N18:N24" si="5">SUM(K18:M18)</f>
        <v>304151.95502079604</v>
      </c>
      <c r="O18" s="356">
        <f>F18+J18+N18</f>
        <v>912455.91004159208</v>
      </c>
    </row>
    <row r="19" spans="2:15" ht="20.25" customHeight="1" x14ac:dyDescent="0.15">
      <c r="B19" s="268" t="s">
        <v>90</v>
      </c>
      <c r="C19" s="353"/>
      <c r="D19" s="354"/>
      <c r="E19" s="354">
        <v>467000</v>
      </c>
      <c r="F19" s="355">
        <f t="shared" ref="F19:F24" si="6">SUM(C19:E19)</f>
        <v>467000</v>
      </c>
      <c r="G19" s="338">
        <f>'Comparaison 2020 '!J19</f>
        <v>0</v>
      </c>
      <c r="H19" s="338">
        <f>'Comparaison 2020 '!K19</f>
        <v>0</v>
      </c>
      <c r="I19" s="338">
        <f>'Comparaison 2020 '!L19</f>
        <v>467000</v>
      </c>
      <c r="J19" s="339">
        <f t="shared" si="3"/>
        <v>467000</v>
      </c>
      <c r="K19" s="338">
        <f>'Comparaison 2020 '!J19</f>
        <v>0</v>
      </c>
      <c r="L19" s="339">
        <f>'Comparaison 2020 '!K19</f>
        <v>0</v>
      </c>
      <c r="M19" s="339">
        <f>'Comparaison 2020 '!L19</f>
        <v>467000</v>
      </c>
      <c r="N19" s="348">
        <f t="shared" si="5"/>
        <v>467000</v>
      </c>
      <c r="O19" s="356">
        <f t="shared" ref="O19:O24" si="7">F19+J19+N19</f>
        <v>1401000</v>
      </c>
    </row>
    <row r="20" spans="2:15" ht="20.25" customHeight="1" x14ac:dyDescent="0.15">
      <c r="B20" s="268" t="s">
        <v>91</v>
      </c>
      <c r="C20" s="353">
        <v>208943</v>
      </c>
      <c r="D20" s="354">
        <v>495560</v>
      </c>
      <c r="E20" s="354"/>
      <c r="F20" s="355">
        <f t="shared" si="6"/>
        <v>704503</v>
      </c>
      <c r="G20" s="338">
        <f>'Comparaison 2020 '!J20</f>
        <v>208942.69637081883</v>
      </c>
      <c r="H20" s="338">
        <f>'Comparaison 2020 '!K20</f>
        <v>518240</v>
      </c>
      <c r="I20" s="338">
        <f>'Comparaison 2020 '!L20</f>
        <v>0</v>
      </c>
      <c r="J20" s="339">
        <f t="shared" si="3"/>
        <v>727182.69637081889</v>
      </c>
      <c r="K20" s="338">
        <f>'Comparaison 2020 '!J20</f>
        <v>208942.69637081883</v>
      </c>
      <c r="L20" s="339">
        <f>'Comparaison 2020 '!K20</f>
        <v>518240</v>
      </c>
      <c r="M20" s="339">
        <f>'Comparaison 2020 '!L20</f>
        <v>0</v>
      </c>
      <c r="N20" s="348">
        <f t="shared" si="5"/>
        <v>727182.69637081889</v>
      </c>
      <c r="O20" s="356">
        <f t="shared" si="7"/>
        <v>2158868.3927416378</v>
      </c>
    </row>
    <row r="21" spans="2:15" ht="20.25" customHeight="1" x14ac:dyDescent="0.15">
      <c r="B21" s="268" t="s">
        <v>92</v>
      </c>
      <c r="C21" s="353">
        <v>323203</v>
      </c>
      <c r="D21" s="354"/>
      <c r="E21" s="354"/>
      <c r="F21" s="355">
        <f t="shared" si="6"/>
        <v>323203</v>
      </c>
      <c r="G21" s="338">
        <f>'Comparaison 2020 '!J21</f>
        <v>383202.97155208181</v>
      </c>
      <c r="H21" s="338">
        <f>'Comparaison 2020 '!K21</f>
        <v>0</v>
      </c>
      <c r="I21" s="338">
        <f>'Comparaison 2020 '!L21</f>
        <v>0</v>
      </c>
      <c r="J21" s="339">
        <f t="shared" si="3"/>
        <v>383202.97155208181</v>
      </c>
      <c r="K21" s="338">
        <f>'Comparaison 2020 '!J21</f>
        <v>383202.97155208181</v>
      </c>
      <c r="L21" s="339">
        <f>'Comparaison 2020 '!K21</f>
        <v>0</v>
      </c>
      <c r="M21" s="339">
        <f>'Comparaison 2020 '!L21</f>
        <v>0</v>
      </c>
      <c r="N21" s="348">
        <f t="shared" si="5"/>
        <v>383202.97155208181</v>
      </c>
      <c r="O21" s="356">
        <f t="shared" si="7"/>
        <v>1089608.9431041637</v>
      </c>
    </row>
    <row r="22" spans="2:15" ht="20.25" customHeight="1" x14ac:dyDescent="0.15">
      <c r="B22" s="268" t="s">
        <v>93</v>
      </c>
      <c r="C22" s="353">
        <v>75000</v>
      </c>
      <c r="D22" s="354">
        <v>562260</v>
      </c>
      <c r="E22" s="354"/>
      <c r="F22" s="355">
        <f t="shared" si="6"/>
        <v>637260</v>
      </c>
      <c r="G22" s="338">
        <f>'Comparaison 2020 '!J22</f>
        <v>75000</v>
      </c>
      <c r="H22" s="338">
        <f>'Comparaison 2020 '!K22</f>
        <v>596280.5</v>
      </c>
      <c r="I22" s="338">
        <f>'Comparaison 2020 '!L22</f>
        <v>0</v>
      </c>
      <c r="J22" s="339">
        <f t="shared" si="3"/>
        <v>671280.5</v>
      </c>
      <c r="K22" s="338">
        <f>'Comparaison 2020 '!J22</f>
        <v>75000</v>
      </c>
      <c r="L22" s="339">
        <f>'Comparaison 2020 '!K22</f>
        <v>596280.5</v>
      </c>
      <c r="M22" s="339">
        <f>'Comparaison 2020 '!L22</f>
        <v>0</v>
      </c>
      <c r="N22" s="348">
        <f t="shared" si="5"/>
        <v>671280.5</v>
      </c>
      <c r="O22" s="356">
        <f t="shared" si="7"/>
        <v>1979821</v>
      </c>
    </row>
    <row r="23" spans="2:15" ht="20.25" customHeight="1" x14ac:dyDescent="0.15">
      <c r="B23" s="268" t="s">
        <v>94</v>
      </c>
      <c r="C23" s="353"/>
      <c r="D23" s="354">
        <v>430200</v>
      </c>
      <c r="E23" s="354"/>
      <c r="F23" s="355">
        <f t="shared" si="6"/>
        <v>430200</v>
      </c>
      <c r="G23" s="338">
        <f>'Comparaison 2020 '!J23</f>
        <v>0</v>
      </c>
      <c r="H23" s="338">
        <f>'Comparaison 2020 '!K23</f>
        <v>441540</v>
      </c>
      <c r="I23" s="338">
        <f>'Comparaison 2020 '!L23</f>
        <v>0</v>
      </c>
      <c r="J23" s="339">
        <f t="shared" si="3"/>
        <v>441540</v>
      </c>
      <c r="K23" s="338">
        <f>'Comparaison 2020 '!J23</f>
        <v>0</v>
      </c>
      <c r="L23" s="339">
        <f>'Comparaison 2020 '!K23</f>
        <v>441540</v>
      </c>
      <c r="M23" s="339">
        <f>'Comparaison 2020 '!L23</f>
        <v>0</v>
      </c>
      <c r="N23" s="348">
        <f t="shared" si="5"/>
        <v>441540</v>
      </c>
      <c r="O23" s="356">
        <f t="shared" si="7"/>
        <v>1313280</v>
      </c>
    </row>
    <row r="24" spans="2:15" ht="20.25" customHeight="1" x14ac:dyDescent="0.15">
      <c r="B24" s="268" t="s">
        <v>95</v>
      </c>
      <c r="C24" s="353">
        <v>0</v>
      </c>
      <c r="D24" s="354"/>
      <c r="E24" s="354">
        <v>1309000</v>
      </c>
      <c r="F24" s="355">
        <f t="shared" si="6"/>
        <v>1309000</v>
      </c>
      <c r="G24" s="338">
        <f>'Comparaison 2020 '!J24</f>
        <v>0</v>
      </c>
      <c r="H24" s="338">
        <f>'Comparaison 2020 '!K24</f>
        <v>0</v>
      </c>
      <c r="I24" s="338">
        <f>'Comparaison 2020 '!L24</f>
        <v>1309000</v>
      </c>
      <c r="J24" s="339">
        <f t="shared" si="3"/>
        <v>1309000</v>
      </c>
      <c r="K24" s="338">
        <f>'Comparaison 2020 '!J24</f>
        <v>0</v>
      </c>
      <c r="L24" s="339">
        <f>'Comparaison 2020 '!K24</f>
        <v>0</v>
      </c>
      <c r="M24" s="339">
        <f>'Comparaison 2020 '!L24</f>
        <v>1309000</v>
      </c>
      <c r="N24" s="348">
        <f t="shared" si="5"/>
        <v>1309000</v>
      </c>
      <c r="O24" s="356">
        <f t="shared" si="7"/>
        <v>3927000</v>
      </c>
    </row>
    <row r="25" spans="2:15" ht="20.25" customHeight="1" x14ac:dyDescent="0.15">
      <c r="B25" s="269" t="s">
        <v>77</v>
      </c>
      <c r="C25" s="357">
        <f>C17+C13+C9+C5</f>
        <v>2805896</v>
      </c>
      <c r="D25" s="358">
        <f>D17+D13+D9+D5</f>
        <v>3379740</v>
      </c>
      <c r="E25" s="358">
        <f>E17+E13+E9+E5</f>
        <v>2527924</v>
      </c>
      <c r="F25" s="359">
        <f>F17+F13+F9+F5</f>
        <v>8713560</v>
      </c>
      <c r="G25" s="360">
        <f t="shared" ref="G25:N25" si="8">G17+G4</f>
        <v>2865895.672527452</v>
      </c>
      <c r="H25" s="360">
        <f t="shared" si="8"/>
        <v>3383578.89</v>
      </c>
      <c r="I25" s="360">
        <f t="shared" si="8"/>
        <v>2527923.8666666667</v>
      </c>
      <c r="J25" s="361">
        <f t="shared" si="8"/>
        <v>8777398.4291941188</v>
      </c>
      <c r="K25" s="362">
        <f t="shared" si="8"/>
        <v>2865895.672527452</v>
      </c>
      <c r="L25" s="358">
        <f t="shared" si="8"/>
        <v>3383578.89</v>
      </c>
      <c r="M25" s="358">
        <f t="shared" si="8"/>
        <v>2527923.8666666667</v>
      </c>
      <c r="N25" s="363">
        <f t="shared" si="8"/>
        <v>8777398.4291941188</v>
      </c>
      <c r="O25" s="364">
        <f>F25+J25+N25</f>
        <v>26268356.858388238</v>
      </c>
    </row>
    <row r="26" spans="2:15" ht="20.25" customHeight="1" x14ac:dyDescent="0.15">
      <c r="B26" s="271" t="s">
        <v>96</v>
      </c>
      <c r="C26" s="365">
        <f t="shared" ref="C26:O26" si="9">C25*0.07</f>
        <v>196412.72000000003</v>
      </c>
      <c r="D26" s="366">
        <f t="shared" si="9"/>
        <v>236581.80000000002</v>
      </c>
      <c r="E26" s="366">
        <f t="shared" si="9"/>
        <v>176954.68000000002</v>
      </c>
      <c r="F26" s="367">
        <f t="shared" si="9"/>
        <v>609949.20000000007</v>
      </c>
      <c r="G26" s="365">
        <f t="shared" si="9"/>
        <v>200612.69707692167</v>
      </c>
      <c r="H26" s="365">
        <f t="shared" si="9"/>
        <v>236850.52230000004</v>
      </c>
      <c r="I26" s="365">
        <f t="shared" si="9"/>
        <v>176954.67066666667</v>
      </c>
      <c r="J26" s="365">
        <f t="shared" si="9"/>
        <v>614417.89004358836</v>
      </c>
      <c r="K26" s="365">
        <f t="shared" si="9"/>
        <v>200612.69707692167</v>
      </c>
      <c r="L26" s="366">
        <f t="shared" si="9"/>
        <v>236850.52230000004</v>
      </c>
      <c r="M26" s="366">
        <f t="shared" si="9"/>
        <v>176954.67066666667</v>
      </c>
      <c r="N26" s="367">
        <f t="shared" si="9"/>
        <v>614417.89004358836</v>
      </c>
      <c r="O26" s="368">
        <f t="shared" si="9"/>
        <v>1838784.9800871769</v>
      </c>
    </row>
    <row r="27" spans="2:15" ht="20.25" customHeight="1" x14ac:dyDescent="0.15">
      <c r="B27" s="272" t="s">
        <v>28</v>
      </c>
      <c r="C27" s="369">
        <f>SUM(C25:C26)</f>
        <v>3002308.72</v>
      </c>
      <c r="D27" s="370">
        <f>SUM(D25:D26)</f>
        <v>3616321.8</v>
      </c>
      <c r="E27" s="370">
        <f>SUM(E25:E26)</f>
        <v>2704878.68</v>
      </c>
      <c r="F27" s="371">
        <f>SUM(F25:F26)</f>
        <v>9323509.1999999993</v>
      </c>
      <c r="G27" s="372">
        <f>G26+G25</f>
        <v>3066508.3696043738</v>
      </c>
      <c r="H27" s="372">
        <f t="shared" ref="H27:O27" si="10">H26+H25</f>
        <v>3620429.4123</v>
      </c>
      <c r="I27" s="372">
        <f t="shared" si="10"/>
        <v>2704878.5373333334</v>
      </c>
      <c r="J27" s="372">
        <f t="shared" si="10"/>
        <v>9391816.3192377072</v>
      </c>
      <c r="K27" s="372">
        <f t="shared" si="10"/>
        <v>3066508.3696043738</v>
      </c>
      <c r="L27" s="372">
        <f t="shared" si="10"/>
        <v>3620429.4123</v>
      </c>
      <c r="M27" s="372">
        <f t="shared" si="10"/>
        <v>2704878.5373333334</v>
      </c>
      <c r="N27" s="372">
        <f t="shared" si="10"/>
        <v>9391816.3192377072</v>
      </c>
      <c r="O27" s="372">
        <f t="shared" si="10"/>
        <v>28107141.838475414</v>
      </c>
    </row>
    <row r="28" spans="2:15" x14ac:dyDescent="0.15">
      <c r="C28" s="273"/>
    </row>
    <row r="29" spans="2:15" x14ac:dyDescent="0.15">
      <c r="C29" s="274"/>
      <c r="D29" s="275"/>
      <c r="E29" s="275"/>
      <c r="F29" s="275"/>
      <c r="G29" s="274"/>
      <c r="K29" s="274"/>
    </row>
    <row r="30" spans="2:15" x14ac:dyDescent="0.15">
      <c r="C30" s="274"/>
      <c r="G30" s="274"/>
    </row>
    <row r="32" spans="2:15" x14ac:dyDescent="0.15">
      <c r="D32" s="274"/>
      <c r="H32" s="274"/>
    </row>
    <row r="33" spans="8:8" x14ac:dyDescent="0.15">
      <c r="H33" s="274"/>
    </row>
    <row r="34" spans="8:8" x14ac:dyDescent="0.15">
      <c r="H34" s="274"/>
    </row>
    <row r="35" spans="8:8" x14ac:dyDescent="0.15">
      <c r="H35" s="274"/>
    </row>
  </sheetData>
  <mergeCells count="5">
    <mergeCell ref="B2:B3"/>
    <mergeCell ref="C2:F2"/>
    <mergeCell ref="G2:J2"/>
    <mergeCell ref="K2:N2"/>
    <mergeCell ref="O2:O3"/>
  </mergeCells>
  <pageMargins left="0.7" right="0.7" top="0.75" bottom="0.75" header="0.3" footer="0.3"/>
  <pageSetup paperSize="9"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tabSelected="1" topLeftCell="A11" zoomScale="125" zoomScaleNormal="125" zoomScalePageLayoutView="125" workbookViewId="0">
      <selection activeCell="A31" sqref="A31"/>
    </sheetView>
  </sheetViews>
  <sheetFormatPr baseColWidth="10" defaultColWidth="9.1640625" defaultRowHeight="12" x14ac:dyDescent="0.15"/>
  <cols>
    <col min="1" max="1" width="41.83203125" style="261" customWidth="1"/>
    <col min="2" max="8" width="12.1640625" style="261" bestFit="1" customWidth="1"/>
    <col min="9" max="9" width="12.1640625" style="261" customWidth="1"/>
    <col min="10" max="11" width="16.33203125" style="261" customWidth="1"/>
    <col min="12" max="12" width="15.1640625" style="261" customWidth="1"/>
    <col min="13" max="13" width="11.5" style="261" customWidth="1"/>
    <col min="14" max="17" width="9.6640625" style="261" hidden="1" customWidth="1"/>
    <col min="18" max="18" width="14.5" style="261" hidden="1" customWidth="1"/>
    <col min="19" max="19" width="9.5" style="261" customWidth="1"/>
    <col min="20" max="20" width="10" style="261" bestFit="1" customWidth="1"/>
    <col min="21" max="21" width="10.33203125" style="261" bestFit="1" customWidth="1"/>
    <col min="22" max="22" width="10" style="261" bestFit="1" customWidth="1"/>
    <col min="23" max="23" width="10" style="249" bestFit="1" customWidth="1"/>
    <col min="24" max="16384" width="9.1640625" style="249"/>
  </cols>
  <sheetData>
    <row r="1" spans="1:23" ht="24.75" customHeight="1" x14ac:dyDescent="0.15">
      <c r="A1" s="579" t="s">
        <v>147</v>
      </c>
      <c r="B1" s="579"/>
      <c r="C1" s="579"/>
      <c r="D1" s="579"/>
      <c r="E1" s="579"/>
      <c r="F1" s="579"/>
      <c r="G1" s="579"/>
      <c r="H1" s="579"/>
      <c r="I1" s="579"/>
      <c r="J1" s="579"/>
      <c r="K1" s="579"/>
      <c r="L1" s="579"/>
      <c r="M1" s="579"/>
      <c r="N1" s="579"/>
      <c r="O1" s="579"/>
      <c r="P1" s="579"/>
      <c r="Q1" s="579"/>
      <c r="R1" s="579"/>
      <c r="S1" s="579"/>
      <c r="T1" s="579"/>
      <c r="U1" s="579"/>
      <c r="V1" s="579"/>
      <c r="W1" s="580"/>
    </row>
    <row r="2" spans="1:23" x14ac:dyDescent="0.15">
      <c r="A2" s="581" t="s">
        <v>0</v>
      </c>
      <c r="B2" s="572" t="s">
        <v>102</v>
      </c>
      <c r="C2" s="573"/>
      <c r="D2" s="573"/>
      <c r="E2" s="574"/>
      <c r="F2" s="583" t="s">
        <v>103</v>
      </c>
      <c r="G2" s="584"/>
      <c r="H2" s="584"/>
      <c r="I2" s="585"/>
      <c r="J2" s="586" t="s">
        <v>99</v>
      </c>
      <c r="K2" s="587"/>
      <c r="L2" s="587"/>
      <c r="M2" s="588"/>
      <c r="N2" s="572">
        <v>2020</v>
      </c>
      <c r="O2" s="573"/>
      <c r="P2" s="573"/>
      <c r="Q2" s="574"/>
      <c r="R2" s="589" t="s">
        <v>42</v>
      </c>
      <c r="S2" s="590" t="s">
        <v>104</v>
      </c>
      <c r="T2" s="573"/>
      <c r="U2" s="573"/>
      <c r="V2" s="589"/>
      <c r="W2" s="250"/>
    </row>
    <row r="3" spans="1:23" x14ac:dyDescent="0.15">
      <c r="A3" s="582"/>
      <c r="B3" s="251" t="s">
        <v>2</v>
      </c>
      <c r="C3" s="252" t="s">
        <v>71</v>
      </c>
      <c r="D3" s="253" t="s">
        <v>72</v>
      </c>
      <c r="E3" s="254" t="s">
        <v>1</v>
      </c>
      <c r="F3" s="251" t="s">
        <v>2</v>
      </c>
      <c r="G3" s="463" t="s">
        <v>71</v>
      </c>
      <c r="H3" s="464" t="s">
        <v>72</v>
      </c>
      <c r="I3" s="254" t="s">
        <v>1</v>
      </c>
      <c r="J3" s="255" t="s">
        <v>2</v>
      </c>
      <c r="K3" s="463" t="s">
        <v>71</v>
      </c>
      <c r="L3" s="464" t="s">
        <v>72</v>
      </c>
      <c r="M3" s="256" t="s">
        <v>1</v>
      </c>
      <c r="N3" s="251" t="s">
        <v>2</v>
      </c>
      <c r="O3" s="534" t="s">
        <v>71</v>
      </c>
      <c r="P3" s="535" t="s">
        <v>72</v>
      </c>
      <c r="Q3" s="254" t="s">
        <v>1</v>
      </c>
      <c r="R3" s="589"/>
      <c r="S3" s="251" t="s">
        <v>2</v>
      </c>
      <c r="T3" s="463" t="s">
        <v>71</v>
      </c>
      <c r="U3" s="464" t="s">
        <v>72</v>
      </c>
      <c r="V3" s="251" t="s">
        <v>1</v>
      </c>
    </row>
    <row r="4" spans="1:23" x14ac:dyDescent="0.15">
      <c r="A4" s="257" t="s">
        <v>79</v>
      </c>
      <c r="B4" s="476">
        <f t="shared" ref="B4:V4" si="0">B5+B9+B13</f>
        <v>1988598</v>
      </c>
      <c r="C4" s="477">
        <f t="shared" si="0"/>
        <v>1861064</v>
      </c>
      <c r="D4" s="477">
        <f t="shared" si="0"/>
        <v>657924</v>
      </c>
      <c r="E4" s="478">
        <f t="shared" si="0"/>
        <v>4507586</v>
      </c>
      <c r="F4" s="401">
        <f t="shared" si="0"/>
        <v>1988598</v>
      </c>
      <c r="G4" s="401">
        <f t="shared" si="0"/>
        <v>1827520</v>
      </c>
      <c r="H4" s="401">
        <f t="shared" si="0"/>
        <v>657924</v>
      </c>
      <c r="I4" s="401">
        <f t="shared" si="0"/>
        <v>4474042</v>
      </c>
      <c r="J4" s="479">
        <f t="shared" si="0"/>
        <v>1988598.0495837552</v>
      </c>
      <c r="K4" s="479">
        <f t="shared" si="0"/>
        <v>1827518.3900000001</v>
      </c>
      <c r="L4" s="479">
        <f t="shared" si="0"/>
        <v>657923.8666666667</v>
      </c>
      <c r="M4" s="479">
        <f t="shared" si="0"/>
        <v>4474040.3062504213</v>
      </c>
      <c r="N4" s="401">
        <f t="shared" si="0"/>
        <v>1988598</v>
      </c>
      <c r="O4" s="401">
        <f t="shared" si="0"/>
        <v>1827520</v>
      </c>
      <c r="P4" s="401">
        <f t="shared" si="0"/>
        <v>657924</v>
      </c>
      <c r="Q4" s="401">
        <f t="shared" si="0"/>
        <v>4474042</v>
      </c>
      <c r="R4" s="401">
        <f t="shared" si="0"/>
        <v>13487589.849583756</v>
      </c>
      <c r="S4" s="401">
        <f t="shared" si="0"/>
        <v>4.9583755026105791E-2</v>
      </c>
      <c r="T4" s="401">
        <f t="shared" si="0"/>
        <v>-1.6099999999860302</v>
      </c>
      <c r="U4" s="401">
        <f t="shared" si="0"/>
        <v>-0.13333333333139308</v>
      </c>
      <c r="V4" s="401">
        <f t="shared" si="0"/>
        <v>-1.693749578204006</v>
      </c>
    </row>
    <row r="5" spans="1:23" ht="20.25" customHeight="1" x14ac:dyDescent="0.15">
      <c r="A5" s="258" t="s">
        <v>80</v>
      </c>
      <c r="B5" s="480">
        <f t="shared" ref="B5:G5" si="1">SUM(B6:B8)</f>
        <v>660336</v>
      </c>
      <c r="C5" s="481">
        <f t="shared" si="1"/>
        <v>402242</v>
      </c>
      <c r="D5" s="481">
        <f t="shared" si="1"/>
        <v>189300</v>
      </c>
      <c r="E5" s="395">
        <f t="shared" si="1"/>
        <v>1251878</v>
      </c>
      <c r="F5" s="480">
        <f t="shared" si="1"/>
        <v>660336</v>
      </c>
      <c r="G5" s="482">
        <f t="shared" si="1"/>
        <v>372880</v>
      </c>
      <c r="H5" s="395">
        <f>H6+H7+H8</f>
        <v>189300</v>
      </c>
      <c r="I5" s="395">
        <f>H5+G5+F5</f>
        <v>1222516</v>
      </c>
      <c r="J5" s="483">
        <f>J6+J7+J8</f>
        <v>660336.17367055023</v>
      </c>
      <c r="K5" s="483">
        <f>K6+K7+K8</f>
        <v>372878.08999999997</v>
      </c>
      <c r="L5" s="483">
        <f>L6+L7+L8</f>
        <v>189300</v>
      </c>
      <c r="M5" s="483">
        <f>M6+M7+M8</f>
        <v>1222514.2636705502</v>
      </c>
      <c r="N5" s="480">
        <f>SUM(N6:N8)</f>
        <v>660336</v>
      </c>
      <c r="O5" s="481">
        <f>SUM(O6:O8)</f>
        <v>372880</v>
      </c>
      <c r="P5" s="481">
        <f>SUM(P6:P8)</f>
        <v>189300</v>
      </c>
      <c r="Q5" s="395">
        <f>SUM(N5:P5)</f>
        <v>1222516</v>
      </c>
      <c r="R5" s="394">
        <f>E5+M5+Q5</f>
        <v>3696908.2636705502</v>
      </c>
      <c r="S5" s="395">
        <f>J5-F5</f>
        <v>0.1736705502262339</v>
      </c>
      <c r="T5" s="395">
        <f>K5-G5</f>
        <v>-1.9100000000325963</v>
      </c>
      <c r="U5" s="395">
        <f>L5-H5</f>
        <v>0</v>
      </c>
      <c r="V5" s="395">
        <f>M5-I5</f>
        <v>-1.7363294498063624</v>
      </c>
    </row>
    <row r="6" spans="1:23" ht="20.25" customHeight="1" x14ac:dyDescent="0.15">
      <c r="A6" s="262" t="s">
        <v>81</v>
      </c>
      <c r="B6" s="384">
        <v>202402</v>
      </c>
      <c r="C6" s="385">
        <v>374709</v>
      </c>
      <c r="D6" s="385">
        <v>95000</v>
      </c>
      <c r="E6" s="386">
        <f>SUM(B6:D6)</f>
        <v>672111</v>
      </c>
      <c r="F6" s="384">
        <v>202402</v>
      </c>
      <c r="G6" s="384">
        <v>338860</v>
      </c>
      <c r="H6" s="384">
        <v>95000</v>
      </c>
      <c r="I6" s="384">
        <f>H6+G6+F6</f>
        <v>636262</v>
      </c>
      <c r="J6" s="387">
        <f>'Cote d''Ivoire'!C44</f>
        <v>202401.95069516427</v>
      </c>
      <c r="K6" s="387">
        <f>'Cote d''Ivoire'!D44</f>
        <v>338859.49</v>
      </c>
      <c r="L6" s="387">
        <f>'Cote d''Ivoire'!E44</f>
        <v>129000</v>
      </c>
      <c r="M6" s="387">
        <f>L6+K6+J6</f>
        <v>670261.44069516426</v>
      </c>
      <c r="N6" s="384">
        <f>'[4]2018 - 2020 Budget (2)'!N$6</f>
        <v>202402</v>
      </c>
      <c r="O6" s="384">
        <f>'[4]2018 - 2020 Budget (2)'!O$6</f>
        <v>338860</v>
      </c>
      <c r="P6" s="384">
        <f>'[4]2018 - 2020 Budget (2)'!P$6</f>
        <v>95000</v>
      </c>
      <c r="Q6" s="384">
        <f>'[4]2018 - 2020 Budget (2)'!Q$6</f>
        <v>636262</v>
      </c>
      <c r="R6" s="384">
        <f>'[4]2018 - 2020 Budget (2)'!R$6</f>
        <v>1816129</v>
      </c>
      <c r="S6" s="389">
        <f t="shared" ref="S6:S27" si="2">J6-F6</f>
        <v>-4.9304835731163621E-2</v>
      </c>
      <c r="T6" s="389">
        <f t="shared" ref="T6:U9" si="3">K6-G6</f>
        <v>-0.51000000000931323</v>
      </c>
      <c r="U6" s="389">
        <f t="shared" si="3"/>
        <v>34000</v>
      </c>
      <c r="V6" s="389">
        <f t="shared" ref="V6:V27" si="4">M6-I6</f>
        <v>33999.44069516426</v>
      </c>
    </row>
    <row r="7" spans="1:23" ht="20.25" customHeight="1" x14ac:dyDescent="0.15">
      <c r="A7" s="262" t="s">
        <v>82</v>
      </c>
      <c r="B7" s="384">
        <v>240352</v>
      </c>
      <c r="C7" s="385">
        <v>0</v>
      </c>
      <c r="D7" s="385">
        <v>0</v>
      </c>
      <c r="E7" s="386">
        <f>SUM(B7:D7)</f>
        <v>240352</v>
      </c>
      <c r="F7" s="384">
        <v>240352</v>
      </c>
      <c r="G7" s="384">
        <v>0</v>
      </c>
      <c r="H7" s="384">
        <v>0</v>
      </c>
      <c r="I7" s="384">
        <f t="shared" ref="I7:I14" si="5">F7+G7+H7</f>
        <v>240352</v>
      </c>
      <c r="J7" s="387">
        <f>'Rép du Congo'!C29</f>
        <v>240352.22297538599</v>
      </c>
      <c r="K7" s="387">
        <f>'Rép du Congo'!D29</f>
        <v>0</v>
      </c>
      <c r="L7" s="387">
        <f>'Rép du Congo'!E29</f>
        <v>0</v>
      </c>
      <c r="M7" s="387">
        <f t="shared" ref="M7:M24" si="6">L7+K7+J7</f>
        <v>240352.22297538599</v>
      </c>
      <c r="N7" s="384">
        <v>240352</v>
      </c>
      <c r="O7" s="385">
        <v>0</v>
      </c>
      <c r="P7" s="385">
        <v>0</v>
      </c>
      <c r="Q7" s="386">
        <f>SUM(N7:P7)</f>
        <v>240352</v>
      </c>
      <c r="R7" s="388">
        <f>E7+M7+Q7</f>
        <v>721056.22297538596</v>
      </c>
      <c r="S7" s="389">
        <f t="shared" si="2"/>
        <v>0.22297538598650135</v>
      </c>
      <c r="T7" s="389">
        <f t="shared" si="3"/>
        <v>0</v>
      </c>
      <c r="U7" s="389">
        <f t="shared" si="3"/>
        <v>0</v>
      </c>
      <c r="V7" s="389">
        <f t="shared" si="4"/>
        <v>0.22297538598650135</v>
      </c>
    </row>
    <row r="8" spans="1:23" ht="20.25" customHeight="1" x14ac:dyDescent="0.15">
      <c r="A8" s="262" t="s">
        <v>83</v>
      </c>
      <c r="B8" s="384">
        <v>217582</v>
      </c>
      <c r="C8" s="385">
        <v>27533</v>
      </c>
      <c r="D8" s="385">
        <v>94300</v>
      </c>
      <c r="E8" s="386">
        <f>SUM(B8:D8)</f>
        <v>339415</v>
      </c>
      <c r="F8" s="384">
        <v>217582</v>
      </c>
      <c r="G8" s="384">
        <v>34020</v>
      </c>
      <c r="H8" s="384">
        <v>94300</v>
      </c>
      <c r="I8" s="384">
        <f t="shared" si="5"/>
        <v>345902</v>
      </c>
      <c r="J8" s="387">
        <f>Zambie!C44</f>
        <v>217582</v>
      </c>
      <c r="K8" s="387">
        <f>Zambie!D44</f>
        <v>34018.6</v>
      </c>
      <c r="L8" s="387">
        <f>Zambie!E44</f>
        <v>60300</v>
      </c>
      <c r="M8" s="387">
        <f t="shared" si="6"/>
        <v>311900.59999999998</v>
      </c>
      <c r="N8" s="384">
        <v>217582</v>
      </c>
      <c r="O8" s="385">
        <v>34020</v>
      </c>
      <c r="P8" s="385">
        <v>94300</v>
      </c>
      <c r="Q8" s="386">
        <f t="shared" ref="Q8:Q14" si="7">SUM(N8:P8)</f>
        <v>345902</v>
      </c>
      <c r="R8" s="388">
        <f t="shared" ref="R8:R23" si="8">E8+M8+Q8</f>
        <v>997217.6</v>
      </c>
      <c r="S8" s="389">
        <f t="shared" si="2"/>
        <v>0</v>
      </c>
      <c r="T8" s="389">
        <f t="shared" si="3"/>
        <v>-1.4000000000014552</v>
      </c>
      <c r="U8" s="389">
        <f t="shared" si="3"/>
        <v>-34000</v>
      </c>
      <c r="V8" s="389">
        <f t="shared" si="4"/>
        <v>-34001.400000000023</v>
      </c>
    </row>
    <row r="9" spans="1:23" ht="20.25" customHeight="1" x14ac:dyDescent="0.15">
      <c r="A9" s="258" t="s">
        <v>84</v>
      </c>
      <c r="B9" s="390">
        <f t="shared" ref="B9:H9" si="9">SUM(B10:B12)</f>
        <v>834908</v>
      </c>
      <c r="C9" s="391">
        <f t="shared" si="9"/>
        <v>539799</v>
      </c>
      <c r="D9" s="391">
        <f t="shared" si="9"/>
        <v>231000</v>
      </c>
      <c r="E9" s="392">
        <f t="shared" si="9"/>
        <v>1605707</v>
      </c>
      <c r="F9" s="390">
        <f t="shared" si="9"/>
        <v>834908</v>
      </c>
      <c r="G9" s="391">
        <f t="shared" si="9"/>
        <v>547800</v>
      </c>
      <c r="H9" s="391">
        <f t="shared" si="9"/>
        <v>231000</v>
      </c>
      <c r="I9" s="391">
        <f t="shared" si="5"/>
        <v>1613708</v>
      </c>
      <c r="J9" s="393">
        <f>J10+J11+J12</f>
        <v>834907.08446736168</v>
      </c>
      <c r="K9" s="393">
        <f>K10+K11+K12</f>
        <v>547800.96</v>
      </c>
      <c r="L9" s="393">
        <f>L10+L11+L12</f>
        <v>231000</v>
      </c>
      <c r="M9" s="393">
        <f>M10+M11+M12</f>
        <v>1613708.0444673616</v>
      </c>
      <c r="N9" s="390">
        <f>SUM(N10:N12)</f>
        <v>834908</v>
      </c>
      <c r="O9" s="391">
        <f>SUM(O10:O12)</f>
        <v>547800</v>
      </c>
      <c r="P9" s="391">
        <f>SUM(P10:P12)</f>
        <v>231000</v>
      </c>
      <c r="Q9" s="392">
        <f t="shared" si="7"/>
        <v>1613708</v>
      </c>
      <c r="R9" s="394">
        <f t="shared" si="8"/>
        <v>4833123.0444673616</v>
      </c>
      <c r="S9" s="395">
        <f t="shared" si="2"/>
        <v>-0.91553263831883669</v>
      </c>
      <c r="T9" s="395">
        <f t="shared" si="3"/>
        <v>0.9599999999627471</v>
      </c>
      <c r="U9" s="395">
        <f t="shared" si="3"/>
        <v>0</v>
      </c>
      <c r="V9" s="395">
        <f t="shared" si="4"/>
        <v>4.4467361643910408E-2</v>
      </c>
    </row>
    <row r="10" spans="1:23" ht="20.25" customHeight="1" x14ac:dyDescent="0.15">
      <c r="A10" s="263" t="s">
        <v>85</v>
      </c>
      <c r="B10" s="384">
        <v>442755</v>
      </c>
      <c r="C10" s="385">
        <v>207110</v>
      </c>
      <c r="D10" s="385">
        <v>185000</v>
      </c>
      <c r="E10" s="386">
        <f>SUM(B10:D10)</f>
        <v>834865</v>
      </c>
      <c r="F10" s="384">
        <v>442755</v>
      </c>
      <c r="G10" s="384">
        <v>191440</v>
      </c>
      <c r="H10" s="384">
        <v>185000</v>
      </c>
      <c r="I10" s="384">
        <f t="shared" si="5"/>
        <v>819195</v>
      </c>
      <c r="J10" s="387">
        <f>Indonésie!C41</f>
        <v>442754</v>
      </c>
      <c r="K10" s="387">
        <f>Indonésie!D41</f>
        <v>191440.09</v>
      </c>
      <c r="L10" s="387">
        <f>Indonésie!E41</f>
        <v>185000</v>
      </c>
      <c r="M10" s="387">
        <f t="shared" si="6"/>
        <v>819194.09</v>
      </c>
      <c r="N10" s="384">
        <v>442755</v>
      </c>
      <c r="O10" s="385">
        <v>191440</v>
      </c>
      <c r="P10" s="385">
        <v>185000</v>
      </c>
      <c r="Q10" s="386">
        <f t="shared" si="7"/>
        <v>819195</v>
      </c>
      <c r="R10" s="388">
        <f t="shared" si="8"/>
        <v>2473254.09</v>
      </c>
      <c r="S10" s="389">
        <f t="shared" si="2"/>
        <v>-1</v>
      </c>
      <c r="T10" s="389">
        <f t="shared" ref="T10:T27" si="10">K10-G10</f>
        <v>8.999999999650754E-2</v>
      </c>
      <c r="U10" s="389">
        <f t="shared" ref="U10:U27" si="11">L10-H10</f>
        <v>0</v>
      </c>
      <c r="V10" s="389">
        <f t="shared" si="4"/>
        <v>-0.91000000003259629</v>
      </c>
    </row>
    <row r="11" spans="1:23" ht="20.25" customHeight="1" x14ac:dyDescent="0.15">
      <c r="A11" s="262" t="s">
        <v>12</v>
      </c>
      <c r="B11" s="384">
        <v>189751</v>
      </c>
      <c r="C11" s="385">
        <v>163709</v>
      </c>
      <c r="D11" s="385">
        <v>46000</v>
      </c>
      <c r="E11" s="386">
        <f>SUM(B11:D11)</f>
        <v>399460</v>
      </c>
      <c r="F11" s="384">
        <v>189751</v>
      </c>
      <c r="G11" s="384">
        <v>207780</v>
      </c>
      <c r="H11" s="384">
        <v>46000</v>
      </c>
      <c r="I11" s="384">
        <f t="shared" si="5"/>
        <v>443531</v>
      </c>
      <c r="J11" s="387">
        <f>Myanmar!C37</f>
        <v>189751.49287153562</v>
      </c>
      <c r="K11" s="387">
        <f>Myanmar!D37</f>
        <v>207780.27</v>
      </c>
      <c r="L11" s="387">
        <f>Myanmar!E37</f>
        <v>46000</v>
      </c>
      <c r="M11" s="387">
        <f t="shared" si="6"/>
        <v>443531.76287153561</v>
      </c>
      <c r="N11" s="384">
        <v>189751</v>
      </c>
      <c r="O11" s="385">
        <v>207780</v>
      </c>
      <c r="P11" s="385">
        <v>46000</v>
      </c>
      <c r="Q11" s="386">
        <f t="shared" si="7"/>
        <v>443531</v>
      </c>
      <c r="R11" s="388">
        <f t="shared" si="8"/>
        <v>1286522.7628715355</v>
      </c>
      <c r="S11" s="389">
        <f t="shared" si="2"/>
        <v>0.49287153562181629</v>
      </c>
      <c r="T11" s="389">
        <f t="shared" si="10"/>
        <v>0.26999999998952262</v>
      </c>
      <c r="U11" s="389">
        <f t="shared" si="11"/>
        <v>0</v>
      </c>
      <c r="V11" s="389">
        <f t="shared" si="4"/>
        <v>0.76287153561133891</v>
      </c>
    </row>
    <row r="12" spans="1:23" ht="20.25" customHeight="1" x14ac:dyDescent="0.15">
      <c r="A12" s="262" t="s">
        <v>13</v>
      </c>
      <c r="B12" s="384">
        <v>202402</v>
      </c>
      <c r="C12" s="385">
        <v>168980</v>
      </c>
      <c r="D12" s="385"/>
      <c r="E12" s="386">
        <f>SUM(B12:D12)</f>
        <v>371382</v>
      </c>
      <c r="F12" s="384">
        <v>202402</v>
      </c>
      <c r="G12" s="384">
        <v>148580</v>
      </c>
      <c r="H12" s="384">
        <v>0</v>
      </c>
      <c r="I12" s="384">
        <f t="shared" si="5"/>
        <v>350982</v>
      </c>
      <c r="J12" s="387">
        <f>'Viet Nam'!C31</f>
        <v>202401.59159582609</v>
      </c>
      <c r="K12" s="387">
        <f>'Viet Nam'!D31</f>
        <v>148580.6</v>
      </c>
      <c r="L12" s="387">
        <f>'Viet Nam'!E31</f>
        <v>0</v>
      </c>
      <c r="M12" s="387">
        <f t="shared" si="6"/>
        <v>350982.19159582607</v>
      </c>
      <c r="N12" s="384">
        <f>'[4]2018 - 2020 Budget (2)'!N$13</f>
        <v>202402</v>
      </c>
      <c r="O12" s="384">
        <f>'[4]2018 - 2020 Budget (2)'!O$13</f>
        <v>148580</v>
      </c>
      <c r="P12" s="384">
        <f>'[4]2018 - 2020 Budget (2)'!P$13</f>
        <v>0</v>
      </c>
      <c r="Q12" s="384">
        <f>'[4]2018 - 2020 Budget (2)'!Q$13</f>
        <v>350982</v>
      </c>
      <c r="R12" s="384">
        <f>'[4]2018 - 2020 Budget (2)'!R$13</f>
        <v>1048630</v>
      </c>
      <c r="S12" s="389">
        <f t="shared" si="2"/>
        <v>-0.40840417391154915</v>
      </c>
      <c r="T12" s="389">
        <f t="shared" si="10"/>
        <v>0.60000000000582077</v>
      </c>
      <c r="U12" s="389">
        <f t="shared" si="11"/>
        <v>0</v>
      </c>
      <c r="V12" s="389">
        <f t="shared" si="4"/>
        <v>0.19159582606516778</v>
      </c>
    </row>
    <row r="13" spans="1:23" ht="20.25" customHeight="1" x14ac:dyDescent="0.15">
      <c r="A13" s="258" t="s">
        <v>14</v>
      </c>
      <c r="B13" s="390">
        <f t="shared" ref="B13:H13" si="12">SUM(B14:B16)</f>
        <v>493354</v>
      </c>
      <c r="C13" s="391">
        <f t="shared" si="12"/>
        <v>919023</v>
      </c>
      <c r="D13" s="391">
        <f t="shared" si="12"/>
        <v>237624</v>
      </c>
      <c r="E13" s="392">
        <f t="shared" si="12"/>
        <v>1650001</v>
      </c>
      <c r="F13" s="390">
        <f t="shared" si="12"/>
        <v>493354</v>
      </c>
      <c r="G13" s="391">
        <f t="shared" si="12"/>
        <v>906840</v>
      </c>
      <c r="H13" s="391">
        <f t="shared" si="12"/>
        <v>237624</v>
      </c>
      <c r="I13" s="391">
        <f t="shared" si="5"/>
        <v>1637818</v>
      </c>
      <c r="J13" s="393">
        <f>J14+J15+J16</f>
        <v>493354.79144584312</v>
      </c>
      <c r="K13" s="393">
        <f t="shared" ref="K13:R13" si="13">K14+K15+K16</f>
        <v>906839.34000000008</v>
      </c>
      <c r="L13" s="393">
        <f t="shared" si="13"/>
        <v>237623.86666666667</v>
      </c>
      <c r="M13" s="393">
        <f t="shared" si="13"/>
        <v>1637817.99811251</v>
      </c>
      <c r="N13" s="393">
        <f t="shared" si="13"/>
        <v>493354</v>
      </c>
      <c r="O13" s="393">
        <f t="shared" si="13"/>
        <v>906840</v>
      </c>
      <c r="P13" s="393">
        <f t="shared" si="13"/>
        <v>237624</v>
      </c>
      <c r="Q13" s="393">
        <f t="shared" si="13"/>
        <v>1637818</v>
      </c>
      <c r="R13" s="393">
        <f t="shared" si="13"/>
        <v>4957558.5414458429</v>
      </c>
      <c r="S13" s="395">
        <f t="shared" si="2"/>
        <v>0.79144584311870858</v>
      </c>
      <c r="T13" s="395">
        <f>K13-G13</f>
        <v>-0.65999999991618097</v>
      </c>
      <c r="U13" s="395">
        <f t="shared" si="11"/>
        <v>-0.13333333333139308</v>
      </c>
      <c r="V13" s="395">
        <f t="shared" si="4"/>
        <v>-1.8874900415539742E-3</v>
      </c>
    </row>
    <row r="14" spans="1:23" ht="20.25" customHeight="1" x14ac:dyDescent="0.15">
      <c r="A14" s="262" t="s">
        <v>86</v>
      </c>
      <c r="B14" s="384">
        <v>227702</v>
      </c>
      <c r="C14" s="385">
        <v>240241</v>
      </c>
      <c r="D14" s="385">
        <v>58903</v>
      </c>
      <c r="E14" s="386">
        <f>SUM(B14:D14)</f>
        <v>526846</v>
      </c>
      <c r="F14" s="384">
        <v>227702</v>
      </c>
      <c r="G14" s="384">
        <v>253140</v>
      </c>
      <c r="H14" s="384">
        <v>58903</v>
      </c>
      <c r="I14" s="384">
        <f t="shared" si="5"/>
        <v>539745</v>
      </c>
      <c r="J14" s="387">
        <f>Colombie!C56</f>
        <v>227701.79144584312</v>
      </c>
      <c r="K14" s="387">
        <f>Colombie!D56</f>
        <v>253139.55</v>
      </c>
      <c r="L14" s="387">
        <f>Colombie!E56</f>
        <v>58903.199999999997</v>
      </c>
      <c r="M14" s="387">
        <f t="shared" si="6"/>
        <v>539744.54144584318</v>
      </c>
      <c r="N14" s="384">
        <v>227702</v>
      </c>
      <c r="O14" s="385">
        <v>253140</v>
      </c>
      <c r="P14" s="385">
        <v>58903</v>
      </c>
      <c r="Q14" s="386">
        <f t="shared" si="7"/>
        <v>539745</v>
      </c>
      <c r="R14" s="388">
        <f t="shared" si="8"/>
        <v>1606335.5414458432</v>
      </c>
      <c r="S14" s="389">
        <f t="shared" si="2"/>
        <v>-0.20855415688129142</v>
      </c>
      <c r="T14" s="389">
        <f t="shared" si="10"/>
        <v>-0.45000000001164153</v>
      </c>
      <c r="U14" s="389">
        <f t="shared" si="11"/>
        <v>0.19999999999708962</v>
      </c>
      <c r="V14" s="389">
        <f t="shared" si="4"/>
        <v>-0.45855415682308376</v>
      </c>
    </row>
    <row r="15" spans="1:23" ht="20.25" customHeight="1" x14ac:dyDescent="0.15">
      <c r="A15" s="262" t="s">
        <v>87</v>
      </c>
      <c r="B15" s="384">
        <v>151801</v>
      </c>
      <c r="C15" s="385">
        <v>213692</v>
      </c>
      <c r="D15" s="385">
        <v>85126</v>
      </c>
      <c r="E15" s="386">
        <f>SUM(B15:D15)</f>
        <v>450619</v>
      </c>
      <c r="F15" s="384">
        <v>151801</v>
      </c>
      <c r="G15" s="384">
        <v>239300</v>
      </c>
      <c r="H15" s="384">
        <v>85126</v>
      </c>
      <c r="I15" s="384">
        <f>H15+G15+F15</f>
        <v>476227</v>
      </c>
      <c r="J15" s="387">
        <f>Mexique!C45</f>
        <v>151801</v>
      </c>
      <c r="K15" s="387">
        <f>Mexique!D45</f>
        <v>239299.99000000002</v>
      </c>
      <c r="L15" s="387">
        <f>Mexique!E45</f>
        <v>85125.666666666672</v>
      </c>
      <c r="M15" s="387">
        <f t="shared" si="6"/>
        <v>476226.65666666668</v>
      </c>
      <c r="N15" s="384">
        <f>'[4]2018 - 2020 Budget (2)'!N$16</f>
        <v>151801</v>
      </c>
      <c r="O15" s="384">
        <f>'[4]2018 - 2020 Budget (2)'!O$16</f>
        <v>239300</v>
      </c>
      <c r="P15" s="384">
        <f>'[4]2018 - 2020 Budget (2)'!P$16</f>
        <v>85126</v>
      </c>
      <c r="Q15" s="384">
        <f>'[4]2018 - 2020 Budget (2)'!Q$16</f>
        <v>476227</v>
      </c>
      <c r="R15" s="384">
        <f>'[4]2018 - 2020 Budget (2)'!R$16</f>
        <v>1453433</v>
      </c>
      <c r="S15" s="389">
        <f t="shared" si="2"/>
        <v>0</v>
      </c>
      <c r="T15" s="389">
        <f t="shared" si="10"/>
        <v>-9.9999999802093953E-3</v>
      </c>
      <c r="U15" s="389">
        <f t="shared" si="11"/>
        <v>-0.33333333332848269</v>
      </c>
      <c r="V15" s="389">
        <f t="shared" si="4"/>
        <v>-0.34333333332324401</v>
      </c>
    </row>
    <row r="16" spans="1:23" ht="20.25" customHeight="1" x14ac:dyDescent="0.15">
      <c r="A16" s="262" t="s">
        <v>88</v>
      </c>
      <c r="B16" s="384">
        <v>113851</v>
      </c>
      <c r="C16" s="385">
        <v>465090</v>
      </c>
      <c r="D16" s="396">
        <v>93595</v>
      </c>
      <c r="E16" s="386">
        <f>SUM(B16:D16)</f>
        <v>672536</v>
      </c>
      <c r="F16" s="384">
        <v>113851</v>
      </c>
      <c r="G16" s="384">
        <v>414400</v>
      </c>
      <c r="H16" s="384">
        <v>93595</v>
      </c>
      <c r="I16" s="384">
        <f>F16+G16+H16</f>
        <v>621846</v>
      </c>
      <c r="J16" s="387">
        <f>Pérou!C49</f>
        <v>113852</v>
      </c>
      <c r="K16" s="387">
        <f>Pérou!D49</f>
        <v>414399.8</v>
      </c>
      <c r="L16" s="387">
        <f>Pérou!E49</f>
        <v>93595</v>
      </c>
      <c r="M16" s="387">
        <f t="shared" si="6"/>
        <v>621846.80000000005</v>
      </c>
      <c r="N16" s="384">
        <f>'[4]2018 - 2020 Budget (2)'!N$17</f>
        <v>113851</v>
      </c>
      <c r="O16" s="384">
        <f>'[4]2018 - 2020 Budget (2)'!O$17</f>
        <v>414400</v>
      </c>
      <c r="P16" s="384">
        <f>'[4]2018 - 2020 Budget (2)'!P$17</f>
        <v>93595</v>
      </c>
      <c r="Q16" s="384">
        <f>'[4]2018 - 2020 Budget (2)'!Q$17</f>
        <v>621846</v>
      </c>
      <c r="R16" s="384">
        <f>'[4]2018 - 2020 Budget (2)'!R$17</f>
        <v>1897790</v>
      </c>
      <c r="S16" s="389">
        <f t="shared" si="2"/>
        <v>1</v>
      </c>
      <c r="T16" s="389">
        <f t="shared" si="10"/>
        <v>-0.20000000001164153</v>
      </c>
      <c r="U16" s="389">
        <f t="shared" si="11"/>
        <v>0</v>
      </c>
      <c r="V16" s="389">
        <f t="shared" si="4"/>
        <v>0.80000000004656613</v>
      </c>
    </row>
    <row r="17" spans="1:22" ht="20.25" customHeight="1" x14ac:dyDescent="0.15">
      <c r="A17" s="257" t="s">
        <v>89</v>
      </c>
      <c r="B17" s="397">
        <f>SUM(B18:B24)</f>
        <v>817298</v>
      </c>
      <c r="C17" s="398">
        <f>SUM(C18:C24)</f>
        <v>2292516</v>
      </c>
      <c r="D17" s="398">
        <f>SUM(D18:D24)</f>
        <v>1870000</v>
      </c>
      <c r="E17" s="399">
        <f>SUM(E18:E24)</f>
        <v>4979814</v>
      </c>
      <c r="F17" s="397">
        <f>F18+F19+F20+F21+F22+F23+F24</f>
        <v>877297</v>
      </c>
      <c r="G17" s="397">
        <f>G18+G19+G20+G21+G22+G23+G24</f>
        <v>1556060</v>
      </c>
      <c r="H17" s="397">
        <f>H18+H19+H20+H21+H22+H23+H24</f>
        <v>1870000</v>
      </c>
      <c r="I17" s="397">
        <f>I18+I19+I20+I21+I22+I23+I24</f>
        <v>1496023</v>
      </c>
      <c r="J17" s="400">
        <f t="shared" ref="J17:R17" si="14">J18+J19+J20+J21+J22+J23+J24</f>
        <v>877297.62294369668</v>
      </c>
      <c r="K17" s="400">
        <f t="shared" si="14"/>
        <v>1556060.5</v>
      </c>
      <c r="L17" s="400">
        <f t="shared" si="14"/>
        <v>1870000</v>
      </c>
      <c r="M17" s="400">
        <f t="shared" si="14"/>
        <v>4303358.1229436966</v>
      </c>
      <c r="N17" s="397">
        <f t="shared" si="14"/>
        <v>285151</v>
      </c>
      <c r="O17" s="397">
        <f t="shared" si="14"/>
        <v>1037820</v>
      </c>
      <c r="P17" s="397">
        <f t="shared" si="14"/>
        <v>94000</v>
      </c>
      <c r="Q17" s="397">
        <f t="shared" si="14"/>
        <v>1416971</v>
      </c>
      <c r="R17" s="397">
        <f t="shared" si="14"/>
        <v>4984177.4550207965</v>
      </c>
      <c r="S17" s="401">
        <f t="shared" si="2"/>
        <v>0.6229436966823414</v>
      </c>
      <c r="T17" s="401">
        <f>K17-G17</f>
        <v>0.5</v>
      </c>
      <c r="U17" s="401">
        <f t="shared" si="11"/>
        <v>0</v>
      </c>
      <c r="V17" s="401">
        <f t="shared" si="4"/>
        <v>2807335.1229436966</v>
      </c>
    </row>
    <row r="18" spans="1:22" ht="20.25" customHeight="1" x14ac:dyDescent="0.15">
      <c r="A18" s="262" t="s">
        <v>269</v>
      </c>
      <c r="B18" s="402">
        <v>210152</v>
      </c>
      <c r="C18" s="403"/>
      <c r="D18" s="403">
        <v>94000</v>
      </c>
      <c r="E18" s="404">
        <f t="shared" ref="E18:E24" si="15">SUM(B18:D18)</f>
        <v>304152</v>
      </c>
      <c r="F18" s="405">
        <v>210151</v>
      </c>
      <c r="G18" s="405">
        <v>0</v>
      </c>
      <c r="H18" s="405">
        <v>94000</v>
      </c>
      <c r="I18" s="405">
        <f>'[5]2018 - 2020 Budget (2)'!J$18</f>
        <v>0</v>
      </c>
      <c r="J18" s="406">
        <f>'Approche paysages'!C36</f>
        <v>210151.95502079604</v>
      </c>
      <c r="K18" s="406">
        <f>'Approche paysages'!D36</f>
        <v>0</v>
      </c>
      <c r="L18" s="406">
        <f>'Approche paysages'!E36</f>
        <v>94000</v>
      </c>
      <c r="M18" s="406">
        <f t="shared" si="6"/>
        <v>304151.95502079604</v>
      </c>
      <c r="N18" s="405">
        <v>210151</v>
      </c>
      <c r="O18" s="407"/>
      <c r="P18" s="407">
        <v>94000</v>
      </c>
      <c r="Q18" s="408">
        <f t="shared" ref="Q18:Q23" si="16">SUM(N18:P18)</f>
        <v>304151</v>
      </c>
      <c r="R18" s="409">
        <f t="shared" si="8"/>
        <v>912454.95502079604</v>
      </c>
      <c r="S18" s="389">
        <f t="shared" si="2"/>
        <v>0.95502079604193568</v>
      </c>
      <c r="T18" s="389">
        <f t="shared" si="10"/>
        <v>0</v>
      </c>
      <c r="U18" s="389">
        <f t="shared" si="11"/>
        <v>0</v>
      </c>
      <c r="V18" s="389">
        <f t="shared" si="4"/>
        <v>304151.95502079604</v>
      </c>
    </row>
    <row r="19" spans="1:22" ht="20.25" customHeight="1" x14ac:dyDescent="0.15">
      <c r="A19" s="262" t="s">
        <v>100</v>
      </c>
      <c r="B19" s="402"/>
      <c r="C19" s="403"/>
      <c r="D19" s="403">
        <v>467000</v>
      </c>
      <c r="E19" s="404">
        <f t="shared" si="15"/>
        <v>467000</v>
      </c>
      <c r="F19" s="405">
        <v>0</v>
      </c>
      <c r="G19" s="405">
        <v>0</v>
      </c>
      <c r="H19" s="405">
        <v>467000</v>
      </c>
      <c r="I19" s="405">
        <f>'[5]2018 - 2020 Budget (2)'!J$19</f>
        <v>0</v>
      </c>
      <c r="J19" s="406">
        <f>'Financement et secteur privé'!C24</f>
        <v>0</v>
      </c>
      <c r="K19" s="406">
        <f>'Financement et secteur privé'!D24</f>
        <v>0</v>
      </c>
      <c r="L19" s="406">
        <f>'Financement et secteur privé'!E24</f>
        <v>467000</v>
      </c>
      <c r="M19" s="406">
        <f t="shared" si="6"/>
        <v>467000</v>
      </c>
      <c r="N19" s="405">
        <f>'[5]2018 - 2020 Budget (2)'!O$19</f>
        <v>0</v>
      </c>
      <c r="O19" s="405">
        <f>'[5]2018 - 2020 Budget (2)'!P$19</f>
        <v>0</v>
      </c>
      <c r="P19" s="405">
        <f>'[5]2018 - 2020 Budget (2)'!Q$19</f>
        <v>0</v>
      </c>
      <c r="Q19" s="405">
        <f>'[5]2018 - 2020 Budget (2)'!R$19</f>
        <v>0</v>
      </c>
      <c r="R19" s="405">
        <f>'[5]2018 - 2020 Budget (2)'!S$19</f>
        <v>0</v>
      </c>
      <c r="S19" s="389">
        <f t="shared" si="2"/>
        <v>0</v>
      </c>
      <c r="T19" s="389">
        <f t="shared" si="10"/>
        <v>0</v>
      </c>
      <c r="U19" s="389">
        <f t="shared" si="11"/>
        <v>0</v>
      </c>
      <c r="V19" s="389">
        <f t="shared" si="4"/>
        <v>467000</v>
      </c>
    </row>
    <row r="20" spans="1:22" ht="20.25" customHeight="1" x14ac:dyDescent="0.15">
      <c r="A20" s="262" t="s">
        <v>353</v>
      </c>
      <c r="B20" s="402">
        <v>208943</v>
      </c>
      <c r="C20" s="403">
        <v>521434</v>
      </c>
      <c r="D20" s="403"/>
      <c r="E20" s="404">
        <f t="shared" si="15"/>
        <v>730377</v>
      </c>
      <c r="F20" s="405">
        <v>208943</v>
      </c>
      <c r="G20" s="405">
        <v>518240</v>
      </c>
      <c r="H20" s="405">
        <v>0</v>
      </c>
      <c r="I20" s="405">
        <f>'[5]2018 - 2020 Budget (2)'!J$20</f>
        <v>0</v>
      </c>
      <c r="J20" s="406">
        <f>'Régimes fonciers et peuples aut'!C36</f>
        <v>208942.69637081883</v>
      </c>
      <c r="K20" s="406">
        <f>'Régimes fonciers et peuples aut'!D36</f>
        <v>518240</v>
      </c>
      <c r="L20" s="406">
        <f>'Régimes fonciers et peuples aut'!E36</f>
        <v>0</v>
      </c>
      <c r="M20" s="406">
        <f t="shared" si="6"/>
        <v>727182.69637081889</v>
      </c>
      <c r="N20" s="405">
        <f>'[5]2018 - 2020 Budget (2)'!O$20</f>
        <v>0</v>
      </c>
      <c r="O20" s="405">
        <f>'[5]2018 - 2020 Budget (2)'!P$20</f>
        <v>0</v>
      </c>
      <c r="P20" s="405">
        <f>'[5]2018 - 2020 Budget (2)'!Q$20</f>
        <v>0</v>
      </c>
      <c r="Q20" s="405">
        <f>'[5]2018 - 2020 Budget (2)'!R$20</f>
        <v>0</v>
      </c>
      <c r="R20" s="405">
        <f>'[5]2018 - 2020 Budget (2)'!S$20</f>
        <v>0</v>
      </c>
      <c r="S20" s="389">
        <f t="shared" si="2"/>
        <v>-0.3036291811731644</v>
      </c>
      <c r="T20" s="389">
        <f t="shared" si="10"/>
        <v>0</v>
      </c>
      <c r="U20" s="389">
        <f t="shared" si="11"/>
        <v>0</v>
      </c>
      <c r="V20" s="389">
        <f t="shared" si="4"/>
        <v>727182.69637081889</v>
      </c>
    </row>
    <row r="21" spans="1:22" ht="20.25" customHeight="1" x14ac:dyDescent="0.15">
      <c r="A21" s="262" t="s">
        <v>92</v>
      </c>
      <c r="B21" s="402">
        <v>323203</v>
      </c>
      <c r="C21" s="403"/>
      <c r="D21" s="403"/>
      <c r="E21" s="404">
        <f t="shared" si="15"/>
        <v>323203</v>
      </c>
      <c r="F21" s="405">
        <v>383203</v>
      </c>
      <c r="G21" s="405">
        <v>0</v>
      </c>
      <c r="H21" s="405">
        <v>0</v>
      </c>
      <c r="I21" s="405">
        <f>SUM(F21:H21)</f>
        <v>383203</v>
      </c>
      <c r="J21" s="406">
        <f>SNSF!C25</f>
        <v>383202.97155208181</v>
      </c>
      <c r="K21" s="406">
        <f>SNSF!D25</f>
        <v>0</v>
      </c>
      <c r="L21" s="406">
        <f>SNSF!E25</f>
        <v>0</v>
      </c>
      <c r="M21" s="406">
        <f t="shared" si="6"/>
        <v>383202.97155208181</v>
      </c>
      <c r="N21" s="405">
        <f>'[5]2018 - 2020 Budget (2)'!O$21</f>
        <v>0</v>
      </c>
      <c r="O21" s="405">
        <f>'[5]2018 - 2020 Budget (2)'!P$21</f>
        <v>0</v>
      </c>
      <c r="P21" s="405">
        <f>'[5]2018 - 2020 Budget (2)'!Q$21</f>
        <v>0</v>
      </c>
      <c r="Q21" s="405">
        <f>'[5]2018 - 2020 Budget (2)'!R$21</f>
        <v>0</v>
      </c>
      <c r="R21" s="405">
        <f>'[5]2018 - 2020 Budget (2)'!S$21</f>
        <v>0</v>
      </c>
      <c r="S21" s="389">
        <f t="shared" si="2"/>
        <v>-2.8447918186429888E-2</v>
      </c>
      <c r="T21" s="389">
        <f t="shared" si="10"/>
        <v>0</v>
      </c>
      <c r="U21" s="389">
        <f t="shared" si="11"/>
        <v>0</v>
      </c>
      <c r="V21" s="389">
        <f t="shared" si="4"/>
        <v>-2.8447918186429888E-2</v>
      </c>
    </row>
    <row r="22" spans="1:22" ht="20.25" customHeight="1" x14ac:dyDescent="0.15">
      <c r="A22" s="262" t="s">
        <v>101</v>
      </c>
      <c r="B22" s="402">
        <v>75000</v>
      </c>
      <c r="C22" s="403">
        <v>1023372</v>
      </c>
      <c r="D22" s="403"/>
      <c r="E22" s="404">
        <f t="shared" si="15"/>
        <v>1098372</v>
      </c>
      <c r="F22" s="405">
        <v>75000</v>
      </c>
      <c r="G22" s="405">
        <v>596280</v>
      </c>
      <c r="H22" s="405">
        <v>0</v>
      </c>
      <c r="I22" s="405">
        <f>SUM(F22:H22)</f>
        <v>671280</v>
      </c>
      <c r="J22" s="406">
        <f>'Accord de Paris et ODD'!C34</f>
        <v>75000</v>
      </c>
      <c r="K22" s="406">
        <f>'Accord de Paris et ODD'!D34</f>
        <v>596280.5</v>
      </c>
      <c r="L22" s="406">
        <f>'Accord de Paris et ODD'!E34</f>
        <v>0</v>
      </c>
      <c r="M22" s="406">
        <f t="shared" si="6"/>
        <v>671280.5</v>
      </c>
      <c r="N22" s="405">
        <v>75000</v>
      </c>
      <c r="O22" s="407">
        <v>596280</v>
      </c>
      <c r="P22" s="407"/>
      <c r="Q22" s="408">
        <f t="shared" si="16"/>
        <v>671280</v>
      </c>
      <c r="R22" s="409">
        <f t="shared" si="8"/>
        <v>2440932.5</v>
      </c>
      <c r="S22" s="389">
        <f t="shared" si="2"/>
        <v>0</v>
      </c>
      <c r="T22" s="389">
        <f t="shared" si="10"/>
        <v>0.5</v>
      </c>
      <c r="U22" s="389">
        <f t="shared" si="11"/>
        <v>0</v>
      </c>
      <c r="V22" s="389">
        <f t="shared" si="4"/>
        <v>0.5</v>
      </c>
    </row>
    <row r="23" spans="1:22" ht="20.25" customHeight="1" x14ac:dyDescent="0.15">
      <c r="A23" s="262" t="s">
        <v>94</v>
      </c>
      <c r="B23" s="402"/>
      <c r="C23" s="403">
        <v>747710</v>
      </c>
      <c r="D23" s="403"/>
      <c r="E23" s="404">
        <f t="shared" si="15"/>
        <v>747710</v>
      </c>
      <c r="F23" s="405">
        <v>0</v>
      </c>
      <c r="G23" s="405">
        <v>441540</v>
      </c>
      <c r="H23" s="405">
        <v>0</v>
      </c>
      <c r="I23" s="405">
        <f>SUM(F23:H23)</f>
        <v>441540</v>
      </c>
      <c r="J23" s="406">
        <f>'Mécanismes de financement REDD+'!C26</f>
        <v>0</v>
      </c>
      <c r="K23" s="406">
        <f>'Mécanismes de financement REDD+'!D26</f>
        <v>441540</v>
      </c>
      <c r="L23" s="406">
        <f>'Mécanismes de financement REDD+'!E26</f>
        <v>0</v>
      </c>
      <c r="M23" s="406">
        <f t="shared" si="6"/>
        <v>441540</v>
      </c>
      <c r="N23" s="405"/>
      <c r="O23" s="407">
        <v>441540</v>
      </c>
      <c r="P23" s="407"/>
      <c r="Q23" s="408">
        <f t="shared" si="16"/>
        <v>441540</v>
      </c>
      <c r="R23" s="409">
        <f t="shared" si="8"/>
        <v>1630790</v>
      </c>
      <c r="S23" s="389">
        <f t="shared" si="2"/>
        <v>0</v>
      </c>
      <c r="T23" s="389">
        <f t="shared" si="10"/>
        <v>0</v>
      </c>
      <c r="U23" s="389">
        <f t="shared" si="11"/>
        <v>0</v>
      </c>
      <c r="V23" s="389">
        <f t="shared" si="4"/>
        <v>0</v>
      </c>
    </row>
    <row r="24" spans="1:22" ht="20.25" customHeight="1" x14ac:dyDescent="0.15">
      <c r="A24" s="262" t="s">
        <v>95</v>
      </c>
      <c r="B24" s="402">
        <v>0</v>
      </c>
      <c r="C24" s="403"/>
      <c r="D24" s="403">
        <v>1309000</v>
      </c>
      <c r="E24" s="404">
        <f t="shared" si="15"/>
        <v>1309000</v>
      </c>
      <c r="F24" s="405">
        <v>0</v>
      </c>
      <c r="G24" s="405">
        <v>0</v>
      </c>
      <c r="H24" s="405">
        <v>1309000</v>
      </c>
      <c r="I24" s="405">
        <f>'[5]2018 - 2020 Budget (2)'!F$24</f>
        <v>0</v>
      </c>
      <c r="J24" s="406">
        <f>'Gestion connaissances et com.'!C33</f>
        <v>0</v>
      </c>
      <c r="K24" s="406">
        <f>'Gestion connaissances et com.'!D33</f>
        <v>0</v>
      </c>
      <c r="L24" s="406">
        <f>'Gestion connaissances et com.'!E33</f>
        <v>1309000</v>
      </c>
      <c r="M24" s="406">
        <f t="shared" si="6"/>
        <v>1309000</v>
      </c>
      <c r="N24" s="405">
        <f>'[5]2018 - 2020 Budget (2)'!K$24</f>
        <v>0</v>
      </c>
      <c r="O24" s="405">
        <f>'[5]2018 - 2020 Budget (2)'!L$24</f>
        <v>0</v>
      </c>
      <c r="P24" s="405">
        <f>'[5]2018 - 2020 Budget (2)'!M$24</f>
        <v>0</v>
      </c>
      <c r="Q24" s="405">
        <f>'[5]2018 - 2020 Budget (2)'!N$24</f>
        <v>0</v>
      </c>
      <c r="R24" s="405">
        <f>'[5]2018 - 2020 Budget (2)'!O$24</f>
        <v>0</v>
      </c>
      <c r="S24" s="389">
        <f t="shared" si="2"/>
        <v>0</v>
      </c>
      <c r="T24" s="389">
        <f t="shared" si="10"/>
        <v>0</v>
      </c>
      <c r="U24" s="389">
        <f t="shared" si="11"/>
        <v>0</v>
      </c>
      <c r="V24" s="389">
        <f t="shared" si="4"/>
        <v>1309000</v>
      </c>
    </row>
    <row r="25" spans="1:22" ht="20.25" customHeight="1" x14ac:dyDescent="0.15">
      <c r="A25" s="259" t="s">
        <v>77</v>
      </c>
      <c r="B25" s="410">
        <f>B17+B13+B9+B5</f>
        <v>2805896</v>
      </c>
      <c r="C25" s="411">
        <f>C17+C13+C9+C5</f>
        <v>4153580</v>
      </c>
      <c r="D25" s="411">
        <f>D17+D13+D9+D5</f>
        <v>2527924</v>
      </c>
      <c r="E25" s="412">
        <f>E17+E13+E9+E5</f>
        <v>9487400</v>
      </c>
      <c r="F25" s="410">
        <f t="shared" ref="F25:R25" si="17">F17+F4</f>
        <v>2865895</v>
      </c>
      <c r="G25" s="410">
        <f t="shared" si="17"/>
        <v>3383580</v>
      </c>
      <c r="H25" s="410">
        <f t="shared" si="17"/>
        <v>2527924</v>
      </c>
      <c r="I25" s="410">
        <f t="shared" si="17"/>
        <v>5970065</v>
      </c>
      <c r="J25" s="413">
        <f t="shared" si="17"/>
        <v>2865895.672527452</v>
      </c>
      <c r="K25" s="413">
        <f t="shared" si="17"/>
        <v>3383578.89</v>
      </c>
      <c r="L25" s="413">
        <f t="shared" si="17"/>
        <v>2527923.8666666667</v>
      </c>
      <c r="M25" s="413">
        <f t="shared" si="17"/>
        <v>8777398.4291941188</v>
      </c>
      <c r="N25" s="410">
        <f t="shared" si="17"/>
        <v>2273749</v>
      </c>
      <c r="O25" s="410">
        <f t="shared" si="17"/>
        <v>2865340</v>
      </c>
      <c r="P25" s="410">
        <f t="shared" si="17"/>
        <v>751924</v>
      </c>
      <c r="Q25" s="410">
        <f t="shared" si="17"/>
        <v>5891013</v>
      </c>
      <c r="R25" s="410">
        <f t="shared" si="17"/>
        <v>18471767.304604553</v>
      </c>
      <c r="S25" s="414">
        <f t="shared" si="2"/>
        <v>0.67252745199948549</v>
      </c>
      <c r="T25" s="414">
        <f>K25-G25</f>
        <v>-1.1099999998696148</v>
      </c>
      <c r="U25" s="414">
        <f>L25-H25</f>
        <v>-0.13333333330228925</v>
      </c>
      <c r="V25" s="414">
        <f t="shared" si="4"/>
        <v>2807333.4291941188</v>
      </c>
    </row>
    <row r="26" spans="1:22" ht="20.25" customHeight="1" x14ac:dyDescent="0.15">
      <c r="A26" s="260" t="s">
        <v>96</v>
      </c>
      <c r="B26" s="405">
        <f t="shared" ref="B26:I26" si="18">B25*0.07</f>
        <v>196412.72000000003</v>
      </c>
      <c r="C26" s="407">
        <f t="shared" si="18"/>
        <v>290750.60000000003</v>
      </c>
      <c r="D26" s="407">
        <f t="shared" si="18"/>
        <v>176954.68000000002</v>
      </c>
      <c r="E26" s="408">
        <f t="shared" si="18"/>
        <v>664118.00000000012</v>
      </c>
      <c r="F26" s="405">
        <f t="shared" si="18"/>
        <v>200612.65000000002</v>
      </c>
      <c r="G26" s="405">
        <f t="shared" si="18"/>
        <v>236850.60000000003</v>
      </c>
      <c r="H26" s="405">
        <f t="shared" si="18"/>
        <v>176954.68000000002</v>
      </c>
      <c r="I26" s="405">
        <f t="shared" si="18"/>
        <v>417904.55000000005</v>
      </c>
      <c r="J26" s="406">
        <f t="shared" ref="J26:R26" si="19">J25*0.07</f>
        <v>200612.69707692167</v>
      </c>
      <c r="K26" s="406">
        <f t="shared" si="19"/>
        <v>236850.52230000004</v>
      </c>
      <c r="L26" s="406">
        <f t="shared" si="19"/>
        <v>176954.67066666667</v>
      </c>
      <c r="M26" s="406">
        <f t="shared" si="19"/>
        <v>614417.89004358836</v>
      </c>
      <c r="N26" s="405">
        <f t="shared" si="19"/>
        <v>159162.43000000002</v>
      </c>
      <c r="O26" s="405">
        <f t="shared" si="19"/>
        <v>200573.80000000002</v>
      </c>
      <c r="P26" s="405">
        <f t="shared" si="19"/>
        <v>52634.680000000008</v>
      </c>
      <c r="Q26" s="405">
        <f t="shared" si="19"/>
        <v>412370.91000000003</v>
      </c>
      <c r="R26" s="405">
        <f t="shared" si="19"/>
        <v>1293023.7113223188</v>
      </c>
      <c r="S26" s="389">
        <f t="shared" si="2"/>
        <v>4.7076921648113057E-2</v>
      </c>
      <c r="T26" s="389">
        <f t="shared" si="10"/>
        <v>-7.7699999994365498E-2</v>
      </c>
      <c r="U26" s="389">
        <f t="shared" si="11"/>
        <v>-9.3333333497866988E-3</v>
      </c>
      <c r="V26" s="389">
        <f t="shared" si="4"/>
        <v>196513.34004358831</v>
      </c>
    </row>
    <row r="27" spans="1:22" ht="20.25" customHeight="1" x14ac:dyDescent="0.15">
      <c r="A27" s="259" t="s">
        <v>28</v>
      </c>
      <c r="B27" s="410">
        <f>SUM(B25:B26)</f>
        <v>3002308.72</v>
      </c>
      <c r="C27" s="411">
        <f>SUM(C25:C26)</f>
        <v>4444330.5999999996</v>
      </c>
      <c r="D27" s="411">
        <f>SUM(D25:D26)</f>
        <v>2704878.68</v>
      </c>
      <c r="E27" s="415">
        <f>SUM(E25:E26)</f>
        <v>10151518</v>
      </c>
      <c r="F27" s="416">
        <f>F25+F26</f>
        <v>3066507.65</v>
      </c>
      <c r="G27" s="416">
        <f t="shared" ref="G27:L27" si="20">G25+G26</f>
        <v>3620430.6</v>
      </c>
      <c r="H27" s="416">
        <f t="shared" si="20"/>
        <v>2704878.68</v>
      </c>
      <c r="I27" s="416">
        <f t="shared" si="20"/>
        <v>6387969.5499999998</v>
      </c>
      <c r="J27" s="413">
        <f t="shared" si="20"/>
        <v>3066508.3696043738</v>
      </c>
      <c r="K27" s="413">
        <f t="shared" si="20"/>
        <v>3620429.4123</v>
      </c>
      <c r="L27" s="413">
        <f t="shared" si="20"/>
        <v>2704878.5373333334</v>
      </c>
      <c r="M27" s="413">
        <f t="shared" ref="M27:R27" si="21">M25+M26</f>
        <v>9391816.3192377072</v>
      </c>
      <c r="N27" s="416">
        <f t="shared" si="21"/>
        <v>2432911.4300000002</v>
      </c>
      <c r="O27" s="416">
        <f t="shared" si="21"/>
        <v>3065913.8</v>
      </c>
      <c r="P27" s="416">
        <f t="shared" si="21"/>
        <v>804558.68</v>
      </c>
      <c r="Q27" s="416">
        <f t="shared" si="21"/>
        <v>6303383.9100000001</v>
      </c>
      <c r="R27" s="416">
        <f t="shared" si="21"/>
        <v>19764791.015926871</v>
      </c>
      <c r="S27" s="414">
        <f t="shared" si="2"/>
        <v>0.71960437390953302</v>
      </c>
      <c r="T27" s="414">
        <f t="shared" si="10"/>
        <v>-1.1877000001259148</v>
      </c>
      <c r="U27" s="414">
        <f t="shared" si="11"/>
        <v>-0.14266666676849127</v>
      </c>
      <c r="V27" s="414">
        <f t="shared" si="4"/>
        <v>3003846.7692377074</v>
      </c>
    </row>
  </sheetData>
  <mergeCells count="8">
    <mergeCell ref="A1:W1"/>
    <mergeCell ref="A2:A3"/>
    <mergeCell ref="B2:E2"/>
    <mergeCell ref="F2:I2"/>
    <mergeCell ref="J2:M2"/>
    <mergeCell ref="N2:Q2"/>
    <mergeCell ref="R2:R3"/>
    <mergeCell ref="S2:V2"/>
  </mergeCells>
  <pageMargins left="0.7" right="0.7" top="0.75" bottom="0.75" header="0.3" footer="0.3"/>
  <pageSetup paperSize="9"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B3:G82"/>
  <sheetViews>
    <sheetView showGridLines="0" topLeftCell="B5" zoomScale="125" zoomScaleNormal="125" zoomScalePageLayoutView="125" workbookViewId="0">
      <selection activeCell="C7" sqref="C7"/>
    </sheetView>
  </sheetViews>
  <sheetFormatPr baseColWidth="10" defaultColWidth="9.1640625" defaultRowHeight="12" x14ac:dyDescent="0.15"/>
  <cols>
    <col min="1" max="1" width="2.1640625" style="159" customWidth="1"/>
    <col min="2" max="2" width="47.5" style="182" customWidth="1"/>
    <col min="3" max="3" width="75" style="182" customWidth="1"/>
    <col min="4" max="4" width="10.6640625" style="182" customWidth="1"/>
    <col min="5" max="5" width="22.5" style="182" customWidth="1"/>
    <col min="6" max="6" width="12.83203125" style="182" customWidth="1"/>
    <col min="7" max="7" width="19.83203125" style="159" customWidth="1"/>
    <col min="8" max="16384" width="9.1640625" style="159"/>
  </cols>
  <sheetData>
    <row r="3" spans="2:6" x14ac:dyDescent="0.15">
      <c r="B3" s="132" t="s">
        <v>105</v>
      </c>
      <c r="C3" s="132"/>
      <c r="D3" s="132"/>
      <c r="E3" s="132"/>
      <c r="F3" s="133"/>
    </row>
    <row r="4" spans="2:6" ht="30.75" customHeight="1" x14ac:dyDescent="0.15">
      <c r="B4" s="620" t="s">
        <v>242</v>
      </c>
      <c r="C4" s="621"/>
      <c r="D4" s="621"/>
      <c r="E4" s="621"/>
      <c r="F4" s="622"/>
    </row>
    <row r="5" spans="2:6" ht="12" customHeight="1" x14ac:dyDescent="0.15">
      <c r="B5" s="638" t="s">
        <v>106</v>
      </c>
      <c r="C5" s="640" t="s">
        <v>107</v>
      </c>
      <c r="D5" s="640" t="s">
        <v>108</v>
      </c>
      <c r="E5" s="642" t="s">
        <v>109</v>
      </c>
      <c r="F5" s="642"/>
    </row>
    <row r="6" spans="2:6" x14ac:dyDescent="0.15">
      <c r="B6" s="639"/>
      <c r="C6" s="641"/>
      <c r="D6" s="641"/>
      <c r="E6" s="467" t="s">
        <v>62</v>
      </c>
      <c r="F6" s="467" t="s">
        <v>110</v>
      </c>
    </row>
    <row r="7" spans="2:6" ht="24" customHeight="1" x14ac:dyDescent="0.15">
      <c r="B7" s="591" t="s">
        <v>111</v>
      </c>
      <c r="C7" s="470" t="s">
        <v>372</v>
      </c>
      <c r="D7" s="643" t="s">
        <v>2</v>
      </c>
      <c r="E7" s="606" t="s">
        <v>63</v>
      </c>
      <c r="F7" s="609">
        <v>125782.74768690798</v>
      </c>
    </row>
    <row r="8" spans="2:6" ht="24" x14ac:dyDescent="0.15">
      <c r="B8" s="592"/>
      <c r="C8" s="470" t="s">
        <v>148</v>
      </c>
      <c r="D8" s="644"/>
      <c r="E8" s="608"/>
      <c r="F8" s="611"/>
    </row>
    <row r="9" spans="2:6" x14ac:dyDescent="0.15">
      <c r="B9" s="592"/>
      <c r="C9" s="158" t="s">
        <v>112</v>
      </c>
      <c r="D9" s="644"/>
      <c r="E9" s="593" t="s">
        <v>123</v>
      </c>
      <c r="F9" s="609">
        <v>9091.5460405469148</v>
      </c>
    </row>
    <row r="10" spans="2:6" ht="24" x14ac:dyDescent="0.15">
      <c r="B10" s="592"/>
      <c r="C10" s="158" t="s">
        <v>113</v>
      </c>
      <c r="D10" s="644"/>
      <c r="E10" s="594"/>
      <c r="F10" s="610"/>
    </row>
    <row r="11" spans="2:6" ht="11.5" customHeight="1" x14ac:dyDescent="0.15">
      <c r="B11" s="592"/>
      <c r="C11" s="612" t="s">
        <v>114</v>
      </c>
      <c r="D11" s="644"/>
      <c r="E11" s="595"/>
      <c r="F11" s="610"/>
    </row>
    <row r="12" spans="2:6" ht="30.75" customHeight="1" x14ac:dyDescent="0.15">
      <c r="B12" s="592"/>
      <c r="C12" s="613"/>
      <c r="D12" s="645"/>
      <c r="E12" s="470" t="s">
        <v>69</v>
      </c>
      <c r="F12" s="419">
        <v>13131.87071234314</v>
      </c>
    </row>
    <row r="13" spans="2:6" x14ac:dyDescent="0.15">
      <c r="B13" s="214" t="s">
        <v>182</v>
      </c>
      <c r="C13" s="214"/>
      <c r="D13" s="214"/>
      <c r="E13" s="231"/>
      <c r="F13" s="420">
        <f>SUM(F7:F12)</f>
        <v>148006.16443979804</v>
      </c>
    </row>
    <row r="14" spans="2:6" ht="42.75" customHeight="1" x14ac:dyDescent="0.15">
      <c r="B14" s="614" t="s">
        <v>115</v>
      </c>
      <c r="C14" s="471" t="s">
        <v>130</v>
      </c>
      <c r="D14" s="617" t="s">
        <v>71</v>
      </c>
      <c r="E14" s="598" t="s">
        <v>63</v>
      </c>
      <c r="F14" s="596">
        <v>157537</v>
      </c>
    </row>
    <row r="15" spans="2:6" ht="35" customHeight="1" x14ac:dyDescent="0.15">
      <c r="B15" s="615"/>
      <c r="C15" s="471" t="s">
        <v>125</v>
      </c>
      <c r="D15" s="618"/>
      <c r="E15" s="599"/>
      <c r="F15" s="597"/>
    </row>
    <row r="16" spans="2:6" ht="28.5" customHeight="1" x14ac:dyDescent="0.15">
      <c r="B16" s="615"/>
      <c r="C16" s="471" t="s">
        <v>126</v>
      </c>
      <c r="D16" s="618"/>
      <c r="E16" s="128" t="s">
        <v>123</v>
      </c>
      <c r="F16" s="421">
        <v>18298.5</v>
      </c>
    </row>
    <row r="17" spans="2:6" ht="30.75" customHeight="1" x14ac:dyDescent="0.15">
      <c r="B17" s="615"/>
      <c r="C17" s="471" t="s">
        <v>127</v>
      </c>
      <c r="D17" s="618"/>
      <c r="E17" s="598" t="s">
        <v>69</v>
      </c>
      <c r="F17" s="596">
        <v>14019</v>
      </c>
    </row>
    <row r="18" spans="2:6" ht="36" customHeight="1" x14ac:dyDescent="0.15">
      <c r="B18" s="615"/>
      <c r="C18" s="471" t="s">
        <v>129</v>
      </c>
      <c r="D18" s="618"/>
      <c r="E18" s="604"/>
      <c r="F18" s="605"/>
    </row>
    <row r="19" spans="2:6" ht="30.75" customHeight="1" x14ac:dyDescent="0.15">
      <c r="B19" s="616"/>
      <c r="C19" s="471" t="s">
        <v>128</v>
      </c>
      <c r="D19" s="619"/>
      <c r="E19" s="599"/>
      <c r="F19" s="597"/>
    </row>
    <row r="20" spans="2:6" x14ac:dyDescent="0.15">
      <c r="B20" s="248" t="s">
        <v>74</v>
      </c>
      <c r="C20" s="142"/>
      <c r="D20" s="114"/>
      <c r="E20" s="139"/>
      <c r="F20" s="422">
        <f>SUM(F14:F17)</f>
        <v>189854.5</v>
      </c>
    </row>
    <row r="21" spans="2:6" ht="24" x14ac:dyDescent="0.15">
      <c r="B21" s="591" t="s">
        <v>370</v>
      </c>
      <c r="C21" s="468" t="s">
        <v>116</v>
      </c>
      <c r="D21" s="643" t="s">
        <v>2</v>
      </c>
      <c r="E21" s="468" t="s">
        <v>63</v>
      </c>
      <c r="F21" s="423">
        <v>67729.171831411993</v>
      </c>
    </row>
    <row r="22" spans="2:6" ht="36" customHeight="1" x14ac:dyDescent="0.15">
      <c r="B22" s="592"/>
      <c r="C22" s="606" t="s">
        <v>371</v>
      </c>
      <c r="D22" s="644"/>
      <c r="E22" s="137" t="s">
        <v>123</v>
      </c>
      <c r="F22" s="419">
        <v>4895.4478679867998</v>
      </c>
    </row>
    <row r="23" spans="2:6" ht="24" customHeight="1" x14ac:dyDescent="0.15">
      <c r="B23" s="592"/>
      <c r="C23" s="608"/>
      <c r="D23" s="644"/>
      <c r="E23" s="606" t="s">
        <v>69</v>
      </c>
      <c r="F23" s="609">
        <v>7071.0073066463056</v>
      </c>
    </row>
    <row r="24" spans="2:6" ht="36" x14ac:dyDescent="0.15">
      <c r="B24" s="592"/>
      <c r="C24" s="319" t="s">
        <v>131</v>
      </c>
      <c r="D24" s="644"/>
      <c r="E24" s="607"/>
      <c r="F24" s="610"/>
    </row>
    <row r="25" spans="2:6" ht="24" x14ac:dyDescent="0.15">
      <c r="B25" s="592"/>
      <c r="C25" s="319" t="s">
        <v>132</v>
      </c>
      <c r="D25" s="645"/>
      <c r="E25" s="608"/>
      <c r="F25" s="611"/>
    </row>
    <row r="26" spans="2:6" x14ac:dyDescent="0.15">
      <c r="B26" s="592"/>
      <c r="C26" s="305"/>
      <c r="D26" s="306"/>
      <c r="E26" s="231"/>
      <c r="F26" s="420">
        <f>SUM(F21:F23)</f>
        <v>79695.627006045106</v>
      </c>
    </row>
    <row r="27" spans="2:6" ht="27" customHeight="1" x14ac:dyDescent="0.15">
      <c r="B27" s="592"/>
      <c r="C27" s="598" t="s">
        <v>133</v>
      </c>
      <c r="D27" s="603" t="s">
        <v>71</v>
      </c>
      <c r="E27" s="465" t="s">
        <v>63</v>
      </c>
      <c r="F27" s="424">
        <v>31507.4</v>
      </c>
    </row>
    <row r="28" spans="2:6" x14ac:dyDescent="0.15">
      <c r="B28" s="592"/>
      <c r="C28" s="604"/>
      <c r="D28" s="603"/>
      <c r="E28" s="128" t="s">
        <v>123</v>
      </c>
      <c r="F28" s="424">
        <v>3660</v>
      </c>
    </row>
    <row r="29" spans="2:6" ht="24" x14ac:dyDescent="0.15">
      <c r="B29" s="592"/>
      <c r="C29" s="599"/>
      <c r="D29" s="603"/>
      <c r="E29" s="471" t="s">
        <v>69</v>
      </c>
      <c r="F29" s="425">
        <v>2803.7</v>
      </c>
    </row>
    <row r="30" spans="2:6" x14ac:dyDescent="0.15">
      <c r="B30" s="300"/>
      <c r="C30" s="305"/>
      <c r="D30" s="305"/>
      <c r="E30" s="231"/>
      <c r="F30" s="420">
        <f>SUM(F27:F29)</f>
        <v>37971.1</v>
      </c>
    </row>
    <row r="31" spans="2:6" x14ac:dyDescent="0.15">
      <c r="B31" s="248" t="s">
        <v>74</v>
      </c>
      <c r="C31" s="248"/>
      <c r="D31" s="248"/>
      <c r="E31" s="248"/>
      <c r="F31" s="426">
        <f>SUM(F30,F26)</f>
        <v>117666.72700604511</v>
      </c>
    </row>
    <row r="32" spans="2:6" ht="24" x14ac:dyDescent="0.15">
      <c r="B32" s="632" t="s">
        <v>186</v>
      </c>
      <c r="C32" s="147" t="s">
        <v>135</v>
      </c>
      <c r="D32" s="624" t="s">
        <v>72</v>
      </c>
      <c r="E32" s="469" t="s">
        <v>63</v>
      </c>
      <c r="F32" s="427">
        <v>21205.200000000001</v>
      </c>
    </row>
    <row r="33" spans="2:6" ht="34" customHeight="1" x14ac:dyDescent="0.15">
      <c r="B33" s="637"/>
      <c r="C33" s="148" t="s">
        <v>134</v>
      </c>
      <c r="D33" s="625"/>
      <c r="E33" s="630" t="s">
        <v>123</v>
      </c>
      <c r="F33" s="628">
        <v>2356</v>
      </c>
    </row>
    <row r="34" spans="2:6" ht="8" customHeight="1" x14ac:dyDescent="0.15">
      <c r="B34" s="637"/>
      <c r="C34" s="632" t="s">
        <v>136</v>
      </c>
      <c r="D34" s="625"/>
      <c r="E34" s="631"/>
      <c r="F34" s="629"/>
    </row>
    <row r="35" spans="2:6" ht="24" x14ac:dyDescent="0.15">
      <c r="B35" s="637"/>
      <c r="C35" s="633"/>
      <c r="D35" s="626"/>
      <c r="E35" s="469" t="s">
        <v>69</v>
      </c>
      <c r="F35" s="428">
        <v>0</v>
      </c>
    </row>
    <row r="36" spans="2:6" x14ac:dyDescent="0.15">
      <c r="B36" s="637"/>
      <c r="C36" s="305"/>
      <c r="D36" s="305"/>
      <c r="E36" s="231"/>
      <c r="F36" s="420">
        <f>SUM(F32:F35)</f>
        <v>23561.200000000001</v>
      </c>
    </row>
    <row r="37" spans="2:6" ht="24" customHeight="1" x14ac:dyDescent="0.15">
      <c r="B37" s="637"/>
      <c r="C37" s="600" t="s">
        <v>137</v>
      </c>
      <c r="D37" s="634" t="s">
        <v>71</v>
      </c>
      <c r="E37" s="471" t="s">
        <v>63</v>
      </c>
      <c r="F37" s="424">
        <v>21005</v>
      </c>
    </row>
    <row r="38" spans="2:6" x14ac:dyDescent="0.15">
      <c r="B38" s="637"/>
      <c r="C38" s="601"/>
      <c r="D38" s="635"/>
      <c r="E38" s="471" t="s">
        <v>123</v>
      </c>
      <c r="F38" s="424">
        <v>2439.8000000000002</v>
      </c>
    </row>
    <row r="39" spans="2:6" ht="24" x14ac:dyDescent="0.15">
      <c r="B39" s="637"/>
      <c r="C39" s="602"/>
      <c r="D39" s="636"/>
      <c r="E39" s="471" t="s">
        <v>69</v>
      </c>
      <c r="F39" s="424">
        <v>1869.15</v>
      </c>
    </row>
    <row r="40" spans="2:6" x14ac:dyDescent="0.15">
      <c r="B40" s="633"/>
      <c r="C40" s="305"/>
      <c r="D40" s="305"/>
      <c r="E40" s="231"/>
      <c r="F40" s="429">
        <f>SUM(F37:F39)</f>
        <v>25313.95</v>
      </c>
    </row>
    <row r="41" spans="2:6" x14ac:dyDescent="0.15">
      <c r="B41" s="248" t="s">
        <v>74</v>
      </c>
      <c r="C41" s="248"/>
      <c r="D41" s="248"/>
      <c r="E41" s="248"/>
      <c r="F41" s="426">
        <f>SUM(F40,F36)</f>
        <v>48875.15</v>
      </c>
    </row>
    <row r="42" spans="2:6" ht="24" x14ac:dyDescent="0.15">
      <c r="B42" s="627" t="s">
        <v>117</v>
      </c>
      <c r="C42" s="466" t="s">
        <v>138</v>
      </c>
      <c r="D42" s="624" t="s">
        <v>72</v>
      </c>
      <c r="E42" s="469" t="s">
        <v>63</v>
      </c>
      <c r="F42" s="427">
        <v>31807.8</v>
      </c>
    </row>
    <row r="43" spans="2:6" x14ac:dyDescent="0.15">
      <c r="B43" s="627"/>
      <c r="C43" s="632" t="s">
        <v>369</v>
      </c>
      <c r="D43" s="625"/>
      <c r="E43" s="115" t="s">
        <v>123</v>
      </c>
      <c r="F43" s="427">
        <v>3534.2000000000003</v>
      </c>
    </row>
    <row r="44" spans="2:6" ht="24" x14ac:dyDescent="0.15">
      <c r="B44" s="627"/>
      <c r="C44" s="633"/>
      <c r="D44" s="626"/>
      <c r="E44" s="116" t="s">
        <v>69</v>
      </c>
      <c r="F44" s="427">
        <v>0</v>
      </c>
    </row>
    <row r="45" spans="2:6" x14ac:dyDescent="0.15">
      <c r="B45" s="248" t="s">
        <v>74</v>
      </c>
      <c r="C45" s="47"/>
      <c r="D45" s="47"/>
      <c r="E45" s="145"/>
      <c r="F45" s="430">
        <f>SUM(F42:F44)</f>
        <v>35342</v>
      </c>
    </row>
    <row r="46" spans="2:6" x14ac:dyDescent="0.15">
      <c r="B46" s="172" t="s">
        <v>77</v>
      </c>
      <c r="C46" s="166"/>
      <c r="D46" s="166"/>
      <c r="E46" s="166"/>
      <c r="F46" s="431">
        <f>F45+F41+F13+F31+F20</f>
        <v>539744.54144584318</v>
      </c>
    </row>
    <row r="47" spans="2:6" x14ac:dyDescent="0.15">
      <c r="B47" s="169" t="s">
        <v>118</v>
      </c>
      <c r="C47" s="169"/>
      <c r="D47" s="169"/>
      <c r="E47" s="169"/>
      <c r="F47" s="432">
        <f>0.07*F46</f>
        <v>37782.117901209029</v>
      </c>
    </row>
    <row r="48" spans="2:6" x14ac:dyDescent="0.15">
      <c r="B48" s="172" t="s">
        <v>119</v>
      </c>
      <c r="C48" s="166"/>
      <c r="D48" s="166"/>
      <c r="E48" s="166"/>
      <c r="F48" s="431">
        <f>F47+F46</f>
        <v>577526.65934705222</v>
      </c>
    </row>
    <row r="52" spans="2:7" x14ac:dyDescent="0.15">
      <c r="B52" s="173" t="s">
        <v>120</v>
      </c>
      <c r="C52" s="173" t="s">
        <v>2</v>
      </c>
      <c r="D52" s="173" t="s">
        <v>71</v>
      </c>
      <c r="E52" s="173" t="s">
        <v>72</v>
      </c>
      <c r="F52" s="173" t="s">
        <v>1</v>
      </c>
    </row>
    <row r="53" spans="2:7" x14ac:dyDescent="0.15">
      <c r="B53" s="135" t="s">
        <v>63</v>
      </c>
      <c r="C53" s="433">
        <f>F21+F7</f>
        <v>193511.91951831998</v>
      </c>
      <c r="D53" s="434">
        <f>F14+F27+F37</f>
        <v>210049.4</v>
      </c>
      <c r="E53" s="435">
        <f>F32+F42</f>
        <v>53013</v>
      </c>
      <c r="F53" s="436">
        <f>E53+D53+C53</f>
        <v>456574.31951832003</v>
      </c>
    </row>
    <row r="54" spans="2:7" x14ac:dyDescent="0.15">
      <c r="B54" s="135" t="s">
        <v>123</v>
      </c>
      <c r="C54" s="433">
        <f>F9+F22</f>
        <v>13986.993908533714</v>
      </c>
      <c r="D54" s="434">
        <f>F16+F28+F38</f>
        <v>24398.3</v>
      </c>
      <c r="E54" s="435">
        <f>F33+F43</f>
        <v>5890.2000000000007</v>
      </c>
      <c r="F54" s="436">
        <f>E54+D54+C54</f>
        <v>44275.49390853371</v>
      </c>
    </row>
    <row r="55" spans="2:7" x14ac:dyDescent="0.15">
      <c r="B55" s="136" t="s">
        <v>69</v>
      </c>
      <c r="C55" s="433">
        <f>F12+F23</f>
        <v>20202.878018989446</v>
      </c>
      <c r="D55" s="434">
        <f>F17+F29+F39</f>
        <v>18691.850000000002</v>
      </c>
      <c r="E55" s="435">
        <f>F35+F44</f>
        <v>0</v>
      </c>
      <c r="F55" s="436">
        <f>E55+D55+C55</f>
        <v>38894.728018989452</v>
      </c>
    </row>
    <row r="56" spans="2:7" x14ac:dyDescent="0.15">
      <c r="B56" s="179" t="s">
        <v>77</v>
      </c>
      <c r="C56" s="437">
        <f>SUM(C53:C55)</f>
        <v>227701.79144584312</v>
      </c>
      <c r="D56" s="437">
        <f>SUM(D53:D55)</f>
        <v>253139.55</v>
      </c>
      <c r="E56" s="437">
        <f>SUM(E53:E55)</f>
        <v>58903.199999999997</v>
      </c>
      <c r="F56" s="437">
        <f>SUM(F53:F55)</f>
        <v>539744.54144584318</v>
      </c>
      <c r="G56" s="204">
        <f>C82+C71</f>
        <v>539744.54144584318</v>
      </c>
    </row>
    <row r="57" spans="2:7" x14ac:dyDescent="0.15">
      <c r="B57" s="169" t="s">
        <v>121</v>
      </c>
      <c r="C57" s="433">
        <v>15939.125401209019</v>
      </c>
      <c r="D57" s="434">
        <f>D56*0.07</f>
        <v>17719.768500000002</v>
      </c>
      <c r="E57" s="435">
        <f>E56*0.07</f>
        <v>4123.2240000000002</v>
      </c>
      <c r="F57" s="436">
        <f>F56*0.07</f>
        <v>37782.117901209029</v>
      </c>
    </row>
    <row r="58" spans="2:7" x14ac:dyDescent="0.15">
      <c r="B58" s="185" t="s">
        <v>1</v>
      </c>
      <c r="C58" s="438">
        <v>243640.91684705214</v>
      </c>
      <c r="D58" s="439">
        <f>D57+D56</f>
        <v>270859.31849999999</v>
      </c>
      <c r="E58" s="440">
        <f>E57+E56</f>
        <v>63026.423999999999</v>
      </c>
      <c r="F58" s="441">
        <f>F57+F56</f>
        <v>577526.65934705222</v>
      </c>
    </row>
    <row r="59" spans="2:7" x14ac:dyDescent="0.15">
      <c r="C59" s="442"/>
      <c r="D59" s="442"/>
      <c r="E59" s="442"/>
      <c r="F59" s="442"/>
    </row>
    <row r="60" spans="2:7" ht="13" thickBot="1" x14ac:dyDescent="0.2">
      <c r="B60" s="187" t="s">
        <v>122</v>
      </c>
      <c r="C60" s="443">
        <f>'Comparaison 2020 '!F14</f>
        <v>227702</v>
      </c>
      <c r="D60" s="443">
        <f>'Comparaison 2020 '!G14</f>
        <v>253140</v>
      </c>
      <c r="E60" s="443">
        <f>'Comparaison 2020 '!H14</f>
        <v>58903</v>
      </c>
      <c r="F60" s="443">
        <f>'Comparaison 2020 '!I14</f>
        <v>539745</v>
      </c>
    </row>
    <row r="61" spans="2:7" ht="13" thickTop="1" x14ac:dyDescent="0.15">
      <c r="B61" s="206"/>
      <c r="C61" s="206"/>
      <c r="D61" s="206"/>
      <c r="E61" s="206"/>
      <c r="F61" s="206"/>
    </row>
    <row r="62" spans="2:7" ht="12" customHeight="1" x14ac:dyDescent="0.15">
      <c r="B62" s="623" t="s">
        <v>187</v>
      </c>
      <c r="C62" s="623"/>
      <c r="D62" s="623"/>
      <c r="E62" s="623"/>
      <c r="F62" s="623"/>
    </row>
    <row r="63" spans="2:7" x14ac:dyDescent="0.15">
      <c r="B63" s="190" t="s">
        <v>62</v>
      </c>
      <c r="C63" s="191" t="s">
        <v>59</v>
      </c>
      <c r="D63" s="192" t="s">
        <v>2</v>
      </c>
      <c r="E63" s="207" t="s">
        <v>71</v>
      </c>
      <c r="F63" s="192" t="s">
        <v>72</v>
      </c>
    </row>
    <row r="64" spans="2:7" x14ac:dyDescent="0.15">
      <c r="B64" s="169" t="s">
        <v>63</v>
      </c>
      <c r="C64" s="194">
        <f>D64+E64+F64</f>
        <v>0</v>
      </c>
      <c r="D64" s="195"/>
      <c r="E64" s="176"/>
      <c r="F64" s="202"/>
    </row>
    <row r="65" spans="2:6" x14ac:dyDescent="0.15">
      <c r="B65" s="169" t="s">
        <v>64</v>
      </c>
      <c r="C65" s="194">
        <f t="shared" ref="C65:C70" si="0">D65+E65+F65</f>
        <v>0</v>
      </c>
      <c r="D65" s="195"/>
      <c r="E65" s="176"/>
      <c r="F65" s="202"/>
    </row>
    <row r="66" spans="2:6" x14ac:dyDescent="0.15">
      <c r="B66" s="170" t="s">
        <v>65</v>
      </c>
      <c r="C66" s="194">
        <f t="shared" si="0"/>
        <v>0</v>
      </c>
      <c r="D66" s="195"/>
      <c r="E66" s="176"/>
      <c r="F66" s="202"/>
    </row>
    <row r="67" spans="2:6" x14ac:dyDescent="0.15">
      <c r="B67" s="169" t="s">
        <v>66</v>
      </c>
      <c r="C67" s="194">
        <f t="shared" si="0"/>
        <v>0</v>
      </c>
      <c r="D67" s="195"/>
      <c r="E67" s="176"/>
      <c r="F67" s="202"/>
    </row>
    <row r="68" spans="2:6" x14ac:dyDescent="0.15">
      <c r="B68" s="169" t="s">
        <v>123</v>
      </c>
      <c r="C68" s="194">
        <f t="shared" si="0"/>
        <v>0</v>
      </c>
      <c r="D68" s="195"/>
      <c r="E68" s="176"/>
      <c r="F68" s="202"/>
    </row>
    <row r="69" spans="2:6" x14ac:dyDescent="0.15">
      <c r="B69" s="170" t="s">
        <v>68</v>
      </c>
      <c r="C69" s="194">
        <f t="shared" si="0"/>
        <v>0</v>
      </c>
      <c r="D69" s="195"/>
      <c r="E69" s="176"/>
      <c r="F69" s="202"/>
    </row>
    <row r="70" spans="2:6" x14ac:dyDescent="0.15">
      <c r="B70" s="170" t="s">
        <v>69</v>
      </c>
      <c r="C70" s="194">
        <f t="shared" si="0"/>
        <v>0</v>
      </c>
      <c r="D70" s="195"/>
      <c r="E70" s="176"/>
      <c r="F70" s="202"/>
    </row>
    <row r="71" spans="2:6" x14ac:dyDescent="0.15">
      <c r="B71" s="134" t="s">
        <v>74</v>
      </c>
      <c r="C71" s="198">
        <f>SUM(C64:C70)</f>
        <v>0</v>
      </c>
      <c r="D71" s="198">
        <f>SUM(D64:D70)</f>
        <v>0</v>
      </c>
      <c r="E71" s="198">
        <f>SUM(E64:E70)</f>
        <v>0</v>
      </c>
      <c r="F71" s="198">
        <f>SUM(F64:F70)</f>
        <v>0</v>
      </c>
    </row>
    <row r="73" spans="2:6" ht="27" customHeight="1" x14ac:dyDescent="0.15">
      <c r="B73" s="620" t="s">
        <v>124</v>
      </c>
      <c r="C73" s="621"/>
      <c r="D73" s="621"/>
      <c r="E73" s="621"/>
      <c r="F73" s="622"/>
    </row>
    <row r="74" spans="2:6" x14ac:dyDescent="0.15">
      <c r="B74" s="190" t="s">
        <v>62</v>
      </c>
      <c r="C74" s="191" t="s">
        <v>59</v>
      </c>
      <c r="D74" s="192" t="s">
        <v>2</v>
      </c>
      <c r="E74" s="207" t="s">
        <v>71</v>
      </c>
      <c r="F74" s="192" t="s">
        <v>72</v>
      </c>
    </row>
    <row r="75" spans="2:6" x14ac:dyDescent="0.15">
      <c r="B75" s="169" t="s">
        <v>63</v>
      </c>
      <c r="C75" s="444">
        <f>D75+E75+F75</f>
        <v>456574.31951831997</v>
      </c>
      <c r="D75" s="433">
        <f>+C53</f>
        <v>193511.91951831998</v>
      </c>
      <c r="E75" s="434">
        <f>+D53</f>
        <v>210049.4</v>
      </c>
      <c r="F75" s="435">
        <f>+E53</f>
        <v>53013</v>
      </c>
    </row>
    <row r="76" spans="2:6" x14ac:dyDescent="0.15">
      <c r="B76" s="169" t="s">
        <v>64</v>
      </c>
      <c r="C76" s="444">
        <f t="shared" ref="C76:C81" si="1">D76+E76+F76</f>
        <v>0</v>
      </c>
      <c r="D76" s="433"/>
      <c r="E76" s="434"/>
      <c r="F76" s="435"/>
    </row>
    <row r="77" spans="2:6" x14ac:dyDescent="0.15">
      <c r="B77" s="170" t="s">
        <v>65</v>
      </c>
      <c r="C77" s="444">
        <f t="shared" si="1"/>
        <v>0</v>
      </c>
      <c r="D77" s="433"/>
      <c r="E77" s="434"/>
      <c r="F77" s="435"/>
    </row>
    <row r="78" spans="2:6" x14ac:dyDescent="0.15">
      <c r="B78" s="169" t="s">
        <v>66</v>
      </c>
      <c r="C78" s="444">
        <f t="shared" si="1"/>
        <v>0</v>
      </c>
      <c r="D78" s="433"/>
      <c r="E78" s="434"/>
      <c r="F78" s="435"/>
    </row>
    <row r="79" spans="2:6" x14ac:dyDescent="0.15">
      <c r="B79" s="169" t="s">
        <v>123</v>
      </c>
      <c r="C79" s="444">
        <f t="shared" si="1"/>
        <v>44275.49390853371</v>
      </c>
      <c r="D79" s="433">
        <f>+C54</f>
        <v>13986.993908533714</v>
      </c>
      <c r="E79" s="434">
        <f>+D54</f>
        <v>24398.3</v>
      </c>
      <c r="F79" s="435">
        <f>+E54</f>
        <v>5890.2000000000007</v>
      </c>
    </row>
    <row r="80" spans="2:6" x14ac:dyDescent="0.15">
      <c r="B80" s="170" t="s">
        <v>68</v>
      </c>
      <c r="C80" s="444">
        <f t="shared" si="1"/>
        <v>0</v>
      </c>
      <c r="D80" s="433"/>
      <c r="E80" s="434"/>
      <c r="F80" s="435"/>
    </row>
    <row r="81" spans="2:6" x14ac:dyDescent="0.15">
      <c r="B81" s="170" t="s">
        <v>69</v>
      </c>
      <c r="C81" s="444">
        <f t="shared" si="1"/>
        <v>38894.728018989452</v>
      </c>
      <c r="D81" s="433">
        <f>+C55</f>
        <v>20202.878018989446</v>
      </c>
      <c r="E81" s="434">
        <f>+D55</f>
        <v>18691.850000000002</v>
      </c>
      <c r="F81" s="435">
        <f>+E55</f>
        <v>0</v>
      </c>
    </row>
    <row r="82" spans="2:6" x14ac:dyDescent="0.15">
      <c r="B82" s="134" t="s">
        <v>74</v>
      </c>
      <c r="C82" s="445">
        <f>SUM(C75:C81)</f>
        <v>539744.54144584318</v>
      </c>
      <c r="D82" s="445">
        <f>SUM(D75:D81)</f>
        <v>227701.79144584312</v>
      </c>
      <c r="E82" s="445">
        <f>SUM(E75:E81)</f>
        <v>253139.55</v>
      </c>
      <c r="F82" s="445">
        <f>SUM(F75:F81)</f>
        <v>58903.199999999997</v>
      </c>
    </row>
  </sheetData>
  <mergeCells count="37">
    <mergeCell ref="D21:D25"/>
    <mergeCell ref="E7:E8"/>
    <mergeCell ref="D7:D12"/>
    <mergeCell ref="F9:F11"/>
    <mergeCell ref="F7:F8"/>
    <mergeCell ref="B4:F4"/>
    <mergeCell ref="B5:B6"/>
    <mergeCell ref="C5:C6"/>
    <mergeCell ref="D5:D6"/>
    <mergeCell ref="E5:F5"/>
    <mergeCell ref="B73:F73"/>
    <mergeCell ref="B62:F62"/>
    <mergeCell ref="D32:D35"/>
    <mergeCell ref="B42:B44"/>
    <mergeCell ref="D42:D44"/>
    <mergeCell ref="F33:F34"/>
    <mergeCell ref="E33:E34"/>
    <mergeCell ref="C34:C35"/>
    <mergeCell ref="D37:D39"/>
    <mergeCell ref="B32:B40"/>
    <mergeCell ref="C43:C44"/>
    <mergeCell ref="B7:B12"/>
    <mergeCell ref="E9:E11"/>
    <mergeCell ref="F14:F15"/>
    <mergeCell ref="E14:E15"/>
    <mergeCell ref="C37:C39"/>
    <mergeCell ref="D27:D29"/>
    <mergeCell ref="E17:E19"/>
    <mergeCell ref="F17:F19"/>
    <mergeCell ref="E23:E25"/>
    <mergeCell ref="F23:F25"/>
    <mergeCell ref="B21:B29"/>
    <mergeCell ref="C27:C29"/>
    <mergeCell ref="C22:C23"/>
    <mergeCell ref="C11:C12"/>
    <mergeCell ref="B14:B19"/>
    <mergeCell ref="D14:D19"/>
  </mergeCells>
  <pageMargins left="0.70866141732283472" right="0.70866141732283472" top="0.74803149606299213" bottom="0.74803149606299213" header="0.31496062992125984" footer="0.31496062992125984"/>
  <pageSetup paperSize="9" scale="80" orientation="landscape"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17BB5A86A31B42BC69A981492E628C" ma:contentTypeVersion="9" ma:contentTypeDescription="Create a new document." ma:contentTypeScope="" ma:versionID="495e1ffb7b1a093fed2bc6a29e7769b8">
  <xsd:schema xmlns:xsd="http://www.w3.org/2001/XMLSchema" xmlns:xs="http://www.w3.org/2001/XMLSchema" xmlns:p="http://schemas.microsoft.com/office/2006/metadata/properties" xmlns:ns2="6684ad74-a1f4-4b64-b73c-241d7408f38b" xmlns:ns3="6a0c811f-2d0f-4d53-8e7f-a9270438e092" targetNamespace="http://schemas.microsoft.com/office/2006/metadata/properties" ma:root="true" ma:fieldsID="7819040499836d75b5d58806c003e48b" ns2:_="" ns3:_="">
    <xsd:import namespace="6684ad74-a1f4-4b64-b73c-241d7408f38b"/>
    <xsd:import namespace="6a0c811f-2d0f-4d53-8e7f-a9270438e092"/>
    <xsd:element name="properties">
      <xsd:complexType>
        <xsd:sequence>
          <xsd:element name="documentManagement">
            <xsd:complexType>
              <xsd:all>
                <xsd:element ref="ns2:SharedWithUsers" minOccurs="0"/>
                <xsd:element ref="ns2:SharedWithDetails" minOccurs="0"/>
                <xsd:element ref="ns3:Dat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84ad74-a1f4-4b64-b73c-241d7408f38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0c811f-2d0f-4d53-8e7f-a9270438e092" elementFormDefault="qualified">
    <xsd:import namespace="http://schemas.microsoft.com/office/2006/documentManagement/types"/>
    <xsd:import namespace="http://schemas.microsoft.com/office/infopath/2007/PartnerControls"/>
    <xsd:element name="Date" ma:index="10" nillable="true" ma:displayName="Date" ma:format="DateOnly" ma:internalName="Date">
      <xsd:simpleType>
        <xsd:restriction base="dms:DateTime"/>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6a0c811f-2d0f-4d53-8e7f-a9270438e092" xsi:nil="true"/>
  </documentManagement>
</p:properties>
</file>

<file path=customXml/itemProps1.xml><?xml version="1.0" encoding="utf-8"?>
<ds:datastoreItem xmlns:ds="http://schemas.openxmlformats.org/officeDocument/2006/customXml" ds:itemID="{112447EA-51D1-4BD1-8AB6-DE8527563CA1}">
  <ds:schemaRefs>
    <ds:schemaRef ds:uri="http://schemas.microsoft.com/sharepoint/v3/contenttype/forms"/>
  </ds:schemaRefs>
</ds:datastoreItem>
</file>

<file path=customXml/itemProps2.xml><?xml version="1.0" encoding="utf-8"?>
<ds:datastoreItem xmlns:ds="http://schemas.openxmlformats.org/officeDocument/2006/customXml" ds:itemID="{710F0AEA-693E-45B5-B339-EB515962A9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84ad74-a1f4-4b64-b73c-241d7408f38b"/>
    <ds:schemaRef ds:uri="6a0c811f-2d0f-4d53-8e7f-a9270438e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AA9267-7F13-4CD1-8E7A-B87906983134}">
  <ds:schemaRefs>
    <ds:schemaRef ds:uri="http://schemas.microsoft.com/office/infopath/2007/PartnerControls"/>
    <ds:schemaRef ds:uri="http://purl.org/dc/term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6684ad74-a1f4-4b64-b73c-241d7408f38b"/>
    <ds:schemaRef ds:uri="6a0c811f-2d0f-4d53-8e7f-a9270438e09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26</vt:i4>
      </vt:variant>
    </vt:vector>
  </HeadingPairs>
  <TitlesOfParts>
    <vt:vector size="26" baseType="lpstr">
      <vt:lpstr>Consl List</vt:lpstr>
      <vt:lpstr>Consl - Countries</vt:lpstr>
      <vt:lpstr>Global</vt:lpstr>
      <vt:lpstr>Consl  Budget</vt:lpstr>
      <vt:lpstr>List by Agency</vt:lpstr>
      <vt:lpstr>Résultat Budget et agences</vt:lpstr>
      <vt:lpstr>Budget consolidé</vt:lpstr>
      <vt:lpstr>Comparaison 2020 </vt:lpstr>
      <vt:lpstr>Colombie</vt:lpstr>
      <vt:lpstr>Cote d'Ivoire</vt:lpstr>
      <vt:lpstr>Indonésie</vt:lpstr>
      <vt:lpstr>Mexique</vt:lpstr>
      <vt:lpstr>Myanmar</vt:lpstr>
      <vt:lpstr>Pérou</vt:lpstr>
      <vt:lpstr>Rép du Congo</vt:lpstr>
      <vt:lpstr>Viet Nam</vt:lpstr>
      <vt:lpstr>Zambie</vt:lpstr>
      <vt:lpstr>Approche paysages</vt:lpstr>
      <vt:lpstr>Financement et secteur privé</vt:lpstr>
      <vt:lpstr>Régimes fonciers et peuples aut</vt:lpstr>
      <vt:lpstr>SNSF</vt:lpstr>
      <vt:lpstr>Sheet1</vt:lpstr>
      <vt:lpstr>Sheet3</vt:lpstr>
      <vt:lpstr>Accord de Paris et ODD</vt:lpstr>
      <vt:lpstr>Mécanismes de financement REDD+</vt:lpstr>
      <vt:lpstr>Gestion connaissances et com.</vt:lpstr>
    </vt:vector>
  </TitlesOfParts>
  <Company>UNDP</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undp</dc:creator>
  <cp:lastModifiedBy>Utilisateur de Microsoft Office</cp:lastModifiedBy>
  <cp:revision/>
  <cp:lastPrinted>2019-05-02T09:49:34Z</cp:lastPrinted>
  <dcterms:created xsi:type="dcterms:W3CDTF">2012-08-29T11:54:05Z</dcterms:created>
  <dcterms:modified xsi:type="dcterms:W3CDTF">2019-06-18T18:58:35Z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0x010100E917BB5A86A31B42BC69A981492E628C</vt:lpwstr>
  </property>
  <property fmtid="{D5CDD505-2E9C-101B-9397-08002B2CF9AE}" pid="3" name="SharedWithUsers">
    <vt:lpwstr>9;#UN-REDD</vt:lpwstr>
  </property>
</Properties>
</file>