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210" windowWidth="19420" windowHeight="4530" tabRatio="884" firstSheet="5" activeTab="6"/>
  </bookViews>
  <sheets>
    <sheet name="Consl List" sheetId="25" state="hidden" r:id="rId1"/>
    <sheet name="Consl - Countries" sheetId="24" state="hidden" r:id="rId2"/>
    <sheet name="Global" sheetId="20" state="hidden" r:id="rId3"/>
    <sheet name="Consl  Budget" sheetId="44" state="hidden" r:id="rId4"/>
    <sheet name="List by Agency" sheetId="45" state="hidden" r:id="rId5"/>
    <sheet name="Outcome Budget lines and agency" sheetId="53" r:id="rId6"/>
    <sheet name="Consolidated budget" sheetId="52" r:id="rId7"/>
    <sheet name="2019 Comparison" sheetId="54" r:id="rId8"/>
    <sheet name="Colombia" sheetId="33" r:id="rId9"/>
    <sheet name="Cote d'Ivoire" sheetId="27" r:id="rId10"/>
    <sheet name="Indonesia" sheetId="30" r:id="rId11"/>
    <sheet name="Mexico" sheetId="34" r:id="rId12"/>
    <sheet name="Myanmar" sheetId="31" r:id="rId13"/>
    <sheet name="Peru" sheetId="50" r:id="rId14"/>
    <sheet name="Rep of Congo" sheetId="28" r:id="rId15"/>
    <sheet name="Viet Nam" sheetId="32" r:id="rId16"/>
    <sheet name="Zambia" sheetId="29" r:id="rId17"/>
    <sheet name="Landscapes Approach" sheetId="36" r:id="rId18"/>
    <sheet name="Financing &amp; Private Sector" sheetId="38" r:id="rId19"/>
    <sheet name="Tenure &amp; IP Rights" sheetId="37" r:id="rId20"/>
    <sheet name="NFMS" sheetId="39" r:id="rId21"/>
    <sheet name="Sheet1" sheetId="46" state="hidden" r:id="rId22"/>
    <sheet name="Sheet3" sheetId="48" state="hidden" r:id="rId23"/>
    <sheet name="Paris Agrmt &amp; SDGs" sheetId="57" r:id="rId24"/>
    <sheet name="REDD+ Funding Mechanism" sheetId="56" r:id="rId25"/>
    <sheet name="Cross cutting &amp; comms" sheetId="43"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Funding" localSheetId="0">[1]Sheet2!$D$4:$D$7</definedName>
    <definedName name="Funding" localSheetId="4">[1]Sheet2!$D$4:$D$7</definedName>
    <definedName name="Funding" localSheetId="13">[2]Sheet2!$D$4:$D$7</definedName>
    <definedName name="Funding">[2]Sheet2!$D$4:$D$7</definedName>
    <definedName name="none" localSheetId="8">#REF!</definedName>
    <definedName name="none" localSheetId="3">#REF!</definedName>
    <definedName name="none" localSheetId="1">#REF!</definedName>
    <definedName name="none" localSheetId="0">#REF!</definedName>
    <definedName name="none" localSheetId="25">#REF!</definedName>
    <definedName name="none" localSheetId="18">#REF!</definedName>
    <definedName name="none" localSheetId="2">#REF!</definedName>
    <definedName name="none" localSheetId="10">#REF!</definedName>
    <definedName name="none" localSheetId="17">#REF!</definedName>
    <definedName name="none" localSheetId="4">#REF!</definedName>
    <definedName name="none" localSheetId="11">#REF!</definedName>
    <definedName name="none" localSheetId="12">#REF!</definedName>
    <definedName name="none" localSheetId="20">#REF!</definedName>
    <definedName name="none" localSheetId="23">#REF!</definedName>
    <definedName name="none" localSheetId="13">#REF!</definedName>
    <definedName name="none" localSheetId="24">#REF!</definedName>
    <definedName name="none" localSheetId="14">#REF!</definedName>
    <definedName name="none" localSheetId="19">#REF!</definedName>
    <definedName name="none" localSheetId="15">#REF!</definedName>
    <definedName name="none" localSheetId="16">#REF!</definedName>
    <definedName name="none">#REF!</definedName>
    <definedName name="Output1" localSheetId="8">#REF!</definedName>
    <definedName name="Output1" localSheetId="3">#REF!</definedName>
    <definedName name="Output1" localSheetId="1">#REF!</definedName>
    <definedName name="Output1" localSheetId="0">#REF!</definedName>
    <definedName name="Output1" localSheetId="25">#REF!</definedName>
    <definedName name="Output1" localSheetId="18">#REF!</definedName>
    <definedName name="Output1" localSheetId="2">#REF!</definedName>
    <definedName name="Output1" localSheetId="10">#REF!</definedName>
    <definedName name="Output1" localSheetId="17">#REF!</definedName>
    <definedName name="Output1" localSheetId="4">#REF!</definedName>
    <definedName name="Output1" localSheetId="11">#REF!</definedName>
    <definedName name="Output1" localSheetId="12">#REF!</definedName>
    <definedName name="Output1" localSheetId="20">#REF!</definedName>
    <definedName name="Output1" localSheetId="23">#REF!</definedName>
    <definedName name="Output1" localSheetId="13">#REF!</definedName>
    <definedName name="Output1" localSheetId="24">#REF!</definedName>
    <definedName name="Output1" localSheetId="14">#REF!</definedName>
    <definedName name="Output1" localSheetId="19">#REF!</definedName>
    <definedName name="Output1" localSheetId="15">#REF!</definedName>
    <definedName name="Output1" localSheetId="16">#REF!</definedName>
    <definedName name="Output1">#REF!</definedName>
    <definedName name="Output1_2" localSheetId="8">#REF!</definedName>
    <definedName name="Output1_2" localSheetId="3">#REF!</definedName>
    <definedName name="Output1_2" localSheetId="1">#REF!</definedName>
    <definedName name="Output1_2" localSheetId="0">#REF!</definedName>
    <definedName name="Output1_2" localSheetId="25">#REF!</definedName>
    <definedName name="Output1_2" localSheetId="18">#REF!</definedName>
    <definedName name="Output1_2" localSheetId="2">#REF!</definedName>
    <definedName name="Output1_2" localSheetId="10">#REF!</definedName>
    <definedName name="Output1_2" localSheetId="17">#REF!</definedName>
    <definedName name="Output1_2" localSheetId="4">#REF!</definedName>
    <definedName name="Output1_2" localSheetId="11">#REF!</definedName>
    <definedName name="Output1_2" localSheetId="12">#REF!</definedName>
    <definedName name="Output1_2" localSheetId="20">#REF!</definedName>
    <definedName name="Output1_2" localSheetId="23">#REF!</definedName>
    <definedName name="Output1_2" localSheetId="13">#REF!</definedName>
    <definedName name="Output1_2" localSheetId="24">#REF!</definedName>
    <definedName name="Output1_2" localSheetId="14">#REF!</definedName>
    <definedName name="Output1_2" localSheetId="19">#REF!</definedName>
    <definedName name="Output1_2" localSheetId="15">#REF!</definedName>
    <definedName name="Output1_2" localSheetId="16">#REF!</definedName>
    <definedName name="Output1_2">#REF!</definedName>
    <definedName name="Output2" localSheetId="8">#REF!</definedName>
    <definedName name="Output2" localSheetId="3">#REF!</definedName>
    <definedName name="Output2" localSheetId="1">#REF!</definedName>
    <definedName name="Output2" localSheetId="0">#REF!</definedName>
    <definedName name="Output2" localSheetId="25">#REF!</definedName>
    <definedName name="Output2" localSheetId="18">#REF!</definedName>
    <definedName name="Output2" localSheetId="2">#REF!</definedName>
    <definedName name="Output2" localSheetId="10">#REF!</definedName>
    <definedName name="Output2" localSheetId="17">#REF!</definedName>
    <definedName name="Output2" localSheetId="4">#REF!</definedName>
    <definedName name="Output2" localSheetId="11">#REF!</definedName>
    <definedName name="Output2" localSheetId="12">#REF!</definedName>
    <definedName name="Output2" localSheetId="20">#REF!</definedName>
    <definedName name="Output2" localSheetId="23">#REF!</definedName>
    <definedName name="Output2" localSheetId="13">#REF!</definedName>
    <definedName name="Output2" localSheetId="24">#REF!</definedName>
    <definedName name="Output2" localSheetId="14">#REF!</definedName>
    <definedName name="Output2" localSheetId="19">#REF!</definedName>
    <definedName name="Output2" localSheetId="15">#REF!</definedName>
    <definedName name="Output2" localSheetId="16">#REF!</definedName>
    <definedName name="Output2">#REF!</definedName>
    <definedName name="Output2_2" localSheetId="8">#REF!</definedName>
    <definedName name="Output2_2" localSheetId="3">#REF!</definedName>
    <definedName name="Output2_2" localSheetId="1">#REF!</definedName>
    <definedName name="Output2_2" localSheetId="0">#REF!</definedName>
    <definedName name="Output2_2" localSheetId="25">#REF!</definedName>
    <definedName name="Output2_2" localSheetId="18">#REF!</definedName>
    <definedName name="Output2_2" localSheetId="2">#REF!</definedName>
    <definedName name="Output2_2" localSheetId="10">#REF!</definedName>
    <definedName name="Output2_2" localSheetId="17">#REF!</definedName>
    <definedName name="Output2_2" localSheetId="4">#REF!</definedName>
    <definedName name="Output2_2" localSheetId="11">#REF!</definedName>
    <definedName name="Output2_2" localSheetId="12">#REF!</definedName>
    <definedName name="Output2_2" localSheetId="20">#REF!</definedName>
    <definedName name="Output2_2" localSheetId="23">#REF!</definedName>
    <definedName name="Output2_2" localSheetId="13">#REF!</definedName>
    <definedName name="Output2_2" localSheetId="24">#REF!</definedName>
    <definedName name="Output2_2" localSheetId="14">#REF!</definedName>
    <definedName name="Output2_2" localSheetId="19">#REF!</definedName>
    <definedName name="Output2_2" localSheetId="15">#REF!</definedName>
    <definedName name="Output2_2" localSheetId="16">#REF!</definedName>
    <definedName name="Output2_2">#REF!</definedName>
    <definedName name="Output3" localSheetId="8">#REF!</definedName>
    <definedName name="Output3" localSheetId="3">#REF!</definedName>
    <definedName name="Output3" localSheetId="1">#REF!</definedName>
    <definedName name="Output3" localSheetId="0">#REF!</definedName>
    <definedName name="Output3" localSheetId="25">#REF!</definedName>
    <definedName name="Output3" localSheetId="18">#REF!</definedName>
    <definedName name="Output3" localSheetId="2">#REF!</definedName>
    <definedName name="Output3" localSheetId="10">#REF!</definedName>
    <definedName name="Output3" localSheetId="17">#REF!</definedName>
    <definedName name="Output3" localSheetId="4">#REF!</definedName>
    <definedName name="Output3" localSheetId="11">#REF!</definedName>
    <definedName name="Output3" localSheetId="12">#REF!</definedName>
    <definedName name="Output3" localSheetId="20">#REF!</definedName>
    <definedName name="Output3" localSheetId="23">#REF!</definedName>
    <definedName name="Output3" localSheetId="13">#REF!</definedName>
    <definedName name="Output3" localSheetId="24">#REF!</definedName>
    <definedName name="Output3" localSheetId="14">#REF!</definedName>
    <definedName name="Output3" localSheetId="19">#REF!</definedName>
    <definedName name="Output3" localSheetId="15">#REF!</definedName>
    <definedName name="Output3" localSheetId="16">#REF!</definedName>
    <definedName name="Output3">#REF!</definedName>
    <definedName name="Output3_2" localSheetId="8">#REF!</definedName>
    <definedName name="Output3_2" localSheetId="3">#REF!</definedName>
    <definedName name="Output3_2" localSheetId="1">#REF!</definedName>
    <definedName name="Output3_2" localSheetId="0">#REF!</definedName>
    <definedName name="Output3_2" localSheetId="25">#REF!</definedName>
    <definedName name="Output3_2" localSheetId="18">#REF!</definedName>
    <definedName name="Output3_2" localSheetId="2">#REF!</definedName>
    <definedName name="Output3_2" localSheetId="10">#REF!</definedName>
    <definedName name="Output3_2" localSheetId="17">#REF!</definedName>
    <definedName name="Output3_2" localSheetId="4">#REF!</definedName>
    <definedName name="Output3_2" localSheetId="11">#REF!</definedName>
    <definedName name="Output3_2" localSheetId="12">#REF!</definedName>
    <definedName name="Output3_2" localSheetId="20">#REF!</definedName>
    <definedName name="Output3_2" localSheetId="23">#REF!</definedName>
    <definedName name="Output3_2" localSheetId="13">#REF!</definedName>
    <definedName name="Output3_2" localSheetId="24">#REF!</definedName>
    <definedName name="Output3_2" localSheetId="14">#REF!</definedName>
    <definedName name="Output3_2" localSheetId="19">#REF!</definedName>
    <definedName name="Output3_2" localSheetId="15">#REF!</definedName>
    <definedName name="Output3_2" localSheetId="16">#REF!</definedName>
    <definedName name="Output3_2">#REF!</definedName>
    <definedName name="Output4" localSheetId="8">#REF!</definedName>
    <definedName name="Output4" localSheetId="3">#REF!</definedName>
    <definedName name="Output4" localSheetId="1">#REF!</definedName>
    <definedName name="Output4" localSheetId="0">#REF!</definedName>
    <definedName name="Output4" localSheetId="25">#REF!</definedName>
    <definedName name="Output4" localSheetId="18">#REF!</definedName>
    <definedName name="Output4" localSheetId="2">#REF!</definedName>
    <definedName name="Output4" localSheetId="10">#REF!</definedName>
    <definedName name="Output4" localSheetId="17">#REF!</definedName>
    <definedName name="Output4" localSheetId="4">#REF!</definedName>
    <definedName name="Output4" localSheetId="11">#REF!</definedName>
    <definedName name="Output4" localSheetId="12">#REF!</definedName>
    <definedName name="Output4" localSheetId="20">#REF!</definedName>
    <definedName name="Output4" localSheetId="23">#REF!</definedName>
    <definedName name="Output4" localSheetId="13">#REF!</definedName>
    <definedName name="Output4" localSheetId="24">#REF!</definedName>
    <definedName name="Output4" localSheetId="14">#REF!</definedName>
    <definedName name="Output4" localSheetId="19">#REF!</definedName>
    <definedName name="Output4" localSheetId="15">#REF!</definedName>
    <definedName name="Output4" localSheetId="16">#REF!</definedName>
    <definedName name="Output4">#REF!</definedName>
    <definedName name="Output4_2" localSheetId="8">#REF!</definedName>
    <definedName name="Output4_2" localSheetId="3">#REF!</definedName>
    <definedName name="Output4_2" localSheetId="1">#REF!</definedName>
    <definedName name="Output4_2" localSheetId="0">#REF!</definedName>
    <definedName name="Output4_2" localSheetId="25">#REF!</definedName>
    <definedName name="Output4_2" localSheetId="18">#REF!</definedName>
    <definedName name="Output4_2" localSheetId="2">#REF!</definedName>
    <definedName name="Output4_2" localSheetId="10">#REF!</definedName>
    <definedName name="Output4_2" localSheetId="17">#REF!</definedName>
    <definedName name="Output4_2" localSheetId="4">#REF!</definedName>
    <definedName name="Output4_2" localSheetId="11">#REF!</definedName>
    <definedName name="Output4_2" localSheetId="12">#REF!</definedName>
    <definedName name="Output4_2" localSheetId="20">#REF!</definedName>
    <definedName name="Output4_2" localSheetId="23">#REF!</definedName>
    <definedName name="Output4_2" localSheetId="13">#REF!</definedName>
    <definedName name="Output4_2" localSheetId="24">#REF!</definedName>
    <definedName name="Output4_2" localSheetId="14">#REF!</definedName>
    <definedName name="Output4_2" localSheetId="19">#REF!</definedName>
    <definedName name="Output4_2" localSheetId="15">#REF!</definedName>
    <definedName name="Output4_2" localSheetId="16">#REF!</definedName>
    <definedName name="Output4_2">#REF!</definedName>
    <definedName name="Output5" localSheetId="8">#REF!</definedName>
    <definedName name="Output5" localSheetId="3">#REF!</definedName>
    <definedName name="Output5" localSheetId="1">#REF!</definedName>
    <definedName name="Output5" localSheetId="0">#REF!</definedName>
    <definedName name="Output5" localSheetId="25">#REF!</definedName>
    <definedName name="Output5" localSheetId="18">#REF!</definedName>
    <definedName name="Output5" localSheetId="2">#REF!</definedName>
    <definedName name="Output5" localSheetId="10">#REF!</definedName>
    <definedName name="Output5" localSheetId="17">#REF!</definedName>
    <definedName name="Output5" localSheetId="4">#REF!</definedName>
    <definedName name="Output5" localSheetId="11">#REF!</definedName>
    <definedName name="Output5" localSheetId="12">#REF!</definedName>
    <definedName name="Output5" localSheetId="20">#REF!</definedName>
    <definedName name="Output5" localSheetId="23">#REF!</definedName>
    <definedName name="Output5" localSheetId="13">#REF!</definedName>
    <definedName name="Output5" localSheetId="24">#REF!</definedName>
    <definedName name="Output5" localSheetId="14">#REF!</definedName>
    <definedName name="Output5" localSheetId="19">#REF!</definedName>
    <definedName name="Output5" localSheetId="15">#REF!</definedName>
    <definedName name="Output5" localSheetId="16">#REF!</definedName>
    <definedName name="Output5">#REF!</definedName>
    <definedName name="Output5_2" localSheetId="8">#REF!</definedName>
    <definedName name="Output5_2" localSheetId="3">#REF!</definedName>
    <definedName name="Output5_2" localSheetId="1">#REF!</definedName>
    <definedName name="Output5_2" localSheetId="0">#REF!</definedName>
    <definedName name="Output5_2" localSheetId="25">#REF!</definedName>
    <definedName name="Output5_2" localSheetId="18">#REF!</definedName>
    <definedName name="Output5_2" localSheetId="2">#REF!</definedName>
    <definedName name="Output5_2" localSheetId="10">#REF!</definedName>
    <definedName name="Output5_2" localSheetId="17">#REF!</definedName>
    <definedName name="Output5_2" localSheetId="4">#REF!</definedName>
    <definedName name="Output5_2" localSheetId="11">#REF!</definedName>
    <definedName name="Output5_2" localSheetId="12">#REF!</definedName>
    <definedName name="Output5_2" localSheetId="20">#REF!</definedName>
    <definedName name="Output5_2" localSheetId="23">#REF!</definedName>
    <definedName name="Output5_2" localSheetId="13">#REF!</definedName>
    <definedName name="Output5_2" localSheetId="24">#REF!</definedName>
    <definedName name="Output5_2" localSheetId="14">#REF!</definedName>
    <definedName name="Output5_2" localSheetId="19">#REF!</definedName>
    <definedName name="Output5_2" localSheetId="15">#REF!</definedName>
    <definedName name="Output5_2" localSheetId="16">#REF!</definedName>
    <definedName name="Output5_2">#REF!</definedName>
    <definedName name="Output6" localSheetId="8">#REF!</definedName>
    <definedName name="Output6" localSheetId="3">#REF!</definedName>
    <definedName name="Output6" localSheetId="1">#REF!</definedName>
    <definedName name="Output6" localSheetId="0">#REF!</definedName>
    <definedName name="Output6" localSheetId="25">#REF!</definedName>
    <definedName name="Output6" localSheetId="18">#REF!</definedName>
    <definedName name="Output6" localSheetId="2">#REF!</definedName>
    <definedName name="Output6" localSheetId="10">#REF!</definedName>
    <definedName name="Output6" localSheetId="17">#REF!</definedName>
    <definedName name="Output6" localSheetId="4">#REF!</definedName>
    <definedName name="Output6" localSheetId="11">#REF!</definedName>
    <definedName name="Output6" localSheetId="12">#REF!</definedName>
    <definedName name="Output6" localSheetId="20">#REF!</definedName>
    <definedName name="Output6" localSheetId="23">#REF!</definedName>
    <definedName name="Output6" localSheetId="13">#REF!</definedName>
    <definedName name="Output6" localSheetId="24">#REF!</definedName>
    <definedName name="Output6" localSheetId="14">#REF!</definedName>
    <definedName name="Output6" localSheetId="19">#REF!</definedName>
    <definedName name="Output6" localSheetId="15">#REF!</definedName>
    <definedName name="Output6" localSheetId="16">#REF!</definedName>
    <definedName name="Output6">#REF!</definedName>
    <definedName name="Output6_2" localSheetId="8">#REF!</definedName>
    <definedName name="Output6_2" localSheetId="3">#REF!</definedName>
    <definedName name="Output6_2" localSheetId="1">#REF!</definedName>
    <definedName name="Output6_2" localSheetId="0">#REF!</definedName>
    <definedName name="Output6_2" localSheetId="25">#REF!</definedName>
    <definedName name="Output6_2" localSheetId="18">#REF!</definedName>
    <definedName name="Output6_2" localSheetId="2">#REF!</definedName>
    <definedName name="Output6_2" localSheetId="10">#REF!</definedName>
    <definedName name="Output6_2" localSheetId="17">#REF!</definedName>
    <definedName name="Output6_2" localSheetId="4">#REF!</definedName>
    <definedName name="Output6_2" localSheetId="11">#REF!</definedName>
    <definedName name="Output6_2" localSheetId="12">#REF!</definedName>
    <definedName name="Output6_2" localSheetId="20">#REF!</definedName>
    <definedName name="Output6_2" localSheetId="23">#REF!</definedName>
    <definedName name="Output6_2" localSheetId="13">#REF!</definedName>
    <definedName name="Output6_2" localSheetId="24">#REF!</definedName>
    <definedName name="Output6_2" localSheetId="14">#REF!</definedName>
    <definedName name="Output6_2" localSheetId="19">#REF!</definedName>
    <definedName name="Output6_2" localSheetId="15">#REF!</definedName>
    <definedName name="Output6_2" localSheetId="16">#REF!</definedName>
    <definedName name="Output6_2">#REF!</definedName>
    <definedName name="Output7" localSheetId="8">#REF!</definedName>
    <definedName name="Output7" localSheetId="3">#REF!</definedName>
    <definedName name="Output7" localSheetId="1">#REF!</definedName>
    <definedName name="Output7" localSheetId="0">#REF!</definedName>
    <definedName name="Output7" localSheetId="25">#REF!</definedName>
    <definedName name="Output7" localSheetId="18">#REF!</definedName>
    <definedName name="Output7" localSheetId="2">#REF!</definedName>
    <definedName name="Output7" localSheetId="10">#REF!</definedName>
    <definedName name="Output7" localSheetId="17">#REF!</definedName>
    <definedName name="Output7" localSheetId="4">#REF!</definedName>
    <definedName name="Output7" localSheetId="11">#REF!</definedName>
    <definedName name="Output7" localSheetId="12">#REF!</definedName>
    <definedName name="Output7" localSheetId="20">#REF!</definedName>
    <definedName name="Output7" localSheetId="23">#REF!</definedName>
    <definedName name="Output7" localSheetId="13">#REF!</definedName>
    <definedName name="Output7" localSheetId="24">#REF!</definedName>
    <definedName name="Output7" localSheetId="14">#REF!</definedName>
    <definedName name="Output7" localSheetId="19">#REF!</definedName>
    <definedName name="Output7" localSheetId="15">#REF!</definedName>
    <definedName name="Output7" localSheetId="16">#REF!</definedName>
    <definedName name="Output7">#REF!</definedName>
    <definedName name="Output7_2" localSheetId="8">#REF!</definedName>
    <definedName name="Output7_2" localSheetId="3">#REF!</definedName>
    <definedName name="Output7_2" localSheetId="1">#REF!</definedName>
    <definedName name="Output7_2" localSheetId="0">#REF!</definedName>
    <definedName name="Output7_2" localSheetId="25">#REF!</definedName>
    <definedName name="Output7_2" localSheetId="18">#REF!</definedName>
    <definedName name="Output7_2" localSheetId="2">#REF!</definedName>
    <definedName name="Output7_2" localSheetId="10">#REF!</definedName>
    <definedName name="Output7_2" localSheetId="17">#REF!</definedName>
    <definedName name="Output7_2" localSheetId="4">#REF!</definedName>
    <definedName name="Output7_2" localSheetId="11">#REF!</definedName>
    <definedName name="Output7_2" localSheetId="12">#REF!</definedName>
    <definedName name="Output7_2" localSheetId="20">#REF!</definedName>
    <definedName name="Output7_2" localSheetId="23">#REF!</definedName>
    <definedName name="Output7_2" localSheetId="13">#REF!</definedName>
    <definedName name="Output7_2" localSheetId="24">#REF!</definedName>
    <definedName name="Output7_2" localSheetId="14">#REF!</definedName>
    <definedName name="Output7_2" localSheetId="19">#REF!</definedName>
    <definedName name="Output7_2" localSheetId="15">#REF!</definedName>
    <definedName name="Output7_2" localSheetId="16">#REF!</definedName>
    <definedName name="Output7_2">#REF!</definedName>
    <definedName name="Pcost" localSheetId="8">#REF!</definedName>
    <definedName name="Pcost" localSheetId="3">#REF!</definedName>
    <definedName name="Pcost" localSheetId="1">#REF!</definedName>
    <definedName name="Pcost" localSheetId="0">#REF!</definedName>
    <definedName name="Pcost" localSheetId="25">#REF!</definedName>
    <definedName name="Pcost" localSheetId="18">#REF!</definedName>
    <definedName name="Pcost" localSheetId="2">#REF!</definedName>
    <definedName name="Pcost" localSheetId="10">#REF!</definedName>
    <definedName name="Pcost" localSheetId="17">#REF!</definedName>
    <definedName name="Pcost" localSheetId="4">#REF!</definedName>
    <definedName name="Pcost" localSheetId="11">#REF!</definedName>
    <definedName name="Pcost" localSheetId="12">#REF!</definedName>
    <definedName name="Pcost" localSheetId="20">#REF!</definedName>
    <definedName name="Pcost" localSheetId="23">#REF!</definedName>
    <definedName name="Pcost" localSheetId="13">#REF!</definedName>
    <definedName name="Pcost" localSheetId="24">#REF!</definedName>
    <definedName name="Pcost" localSheetId="14">#REF!</definedName>
    <definedName name="Pcost" localSheetId="19">#REF!</definedName>
    <definedName name="Pcost" localSheetId="15">#REF!</definedName>
    <definedName name="Pcost" localSheetId="16">#REF!</definedName>
    <definedName name="Pcost">#REF!</definedName>
    <definedName name="Personnel" localSheetId="0">[1]Sheet2!$G$4:$G$11</definedName>
    <definedName name="Personnel" localSheetId="4">[1]Sheet2!$G$4:$G$11</definedName>
    <definedName name="Personnel" localSheetId="13">[2]Sheet2!$G$4:$G$11</definedName>
    <definedName name="Personnel">[2]Sheet2!$G$4:$G$11</definedName>
    <definedName name="_xlnm.Print_Area" localSheetId="3">'Consl  Budget'!$B$2:$F$15</definedName>
    <definedName name="_xlnm.Print_Area" localSheetId="1">'Consl - Countries'!$B$2:$F$20</definedName>
    <definedName name="_xlnm.Print_Area" localSheetId="2">Global!$B$2:$I$22</definedName>
    <definedName name="_xlnm.Print_Titles" localSheetId="3">'Consl  Budget'!$4:$4</definedName>
    <definedName name="_xlnm.Print_Titles" localSheetId="1">'Consl - Countries'!$4:$4</definedName>
    <definedName name="_xlnm.Print_Titles" localSheetId="2">Global!$4:$4</definedName>
    <definedName name="SupportCostFactor" localSheetId="8">#REF!</definedName>
    <definedName name="SupportCostFactor" localSheetId="3">#REF!</definedName>
    <definedName name="SupportCostFactor" localSheetId="1">#REF!</definedName>
    <definedName name="SupportCostFactor" localSheetId="0">#REF!</definedName>
    <definedName name="SupportCostFactor" localSheetId="25">#REF!</definedName>
    <definedName name="SupportCostFactor" localSheetId="18">#REF!</definedName>
    <definedName name="SupportCostFactor" localSheetId="2">#REF!</definedName>
    <definedName name="SupportCostFactor" localSheetId="10">#REF!</definedName>
    <definedName name="SupportCostFactor" localSheetId="17">#REF!</definedName>
    <definedName name="SupportCostFactor" localSheetId="4">#REF!</definedName>
    <definedName name="SupportCostFactor" localSheetId="11">#REF!</definedName>
    <definedName name="SupportCostFactor" localSheetId="12">#REF!</definedName>
    <definedName name="SupportCostFactor" localSheetId="20">#REF!</definedName>
    <definedName name="SupportCostFactor" localSheetId="23">#REF!</definedName>
    <definedName name="SupportCostFactor" localSheetId="13">#REF!</definedName>
    <definedName name="SupportCostFactor" localSheetId="24">#REF!</definedName>
    <definedName name="SupportCostFactor" localSheetId="14">#REF!</definedName>
    <definedName name="SupportCostFactor" localSheetId="19">#REF!</definedName>
    <definedName name="SupportCostFactor" localSheetId="15">#REF!</definedName>
    <definedName name="SupportCostFactor" localSheetId="16">#REF!</definedName>
    <definedName name="SupportCostFactor">#REF!</definedName>
    <definedName name="total2009" localSheetId="13">'[3]GP1 data'!$F$10</definedName>
    <definedName name="total2009">'[3]GP1 data'!$F$10</definedName>
    <definedName name="Year1" localSheetId="8">#REF!</definedName>
    <definedName name="Year1" localSheetId="3">#REF!</definedName>
    <definedName name="Year1" localSheetId="1">#REF!</definedName>
    <definedName name="Year1" localSheetId="0">#REF!</definedName>
    <definedName name="Year1" localSheetId="25">#REF!</definedName>
    <definedName name="Year1" localSheetId="18">#REF!</definedName>
    <definedName name="Year1" localSheetId="2">#REF!</definedName>
    <definedName name="Year1" localSheetId="10">#REF!</definedName>
    <definedName name="Year1" localSheetId="17">#REF!</definedName>
    <definedName name="Year1" localSheetId="4">#REF!</definedName>
    <definedName name="Year1" localSheetId="11">#REF!</definedName>
    <definedName name="Year1" localSheetId="12">#REF!</definedName>
    <definedName name="Year1" localSheetId="20">#REF!</definedName>
    <definedName name="Year1" localSheetId="23">#REF!</definedName>
    <definedName name="Year1" localSheetId="13">#REF!</definedName>
    <definedName name="Year1" localSheetId="24">#REF!</definedName>
    <definedName name="Year1" localSheetId="14">#REF!</definedName>
    <definedName name="Year1" localSheetId="19">#REF!</definedName>
    <definedName name="Year1" localSheetId="15">#REF!</definedName>
    <definedName name="Year1" localSheetId="16">#REF!</definedName>
    <definedName name="Year1">#REF!</definedName>
    <definedName name="Year1Rate" localSheetId="8">#REF!</definedName>
    <definedName name="Year1Rate" localSheetId="3">#REF!</definedName>
    <definedName name="Year1Rate" localSheetId="1">#REF!</definedName>
    <definedName name="Year1Rate" localSheetId="0">#REF!</definedName>
    <definedName name="Year1Rate" localSheetId="25">#REF!</definedName>
    <definedName name="Year1Rate" localSheetId="18">#REF!</definedName>
    <definedName name="Year1Rate" localSheetId="2">#REF!</definedName>
    <definedName name="Year1Rate" localSheetId="10">#REF!</definedName>
    <definedName name="Year1Rate" localSheetId="17">#REF!</definedName>
    <definedName name="Year1Rate" localSheetId="4">#REF!</definedName>
    <definedName name="Year1Rate" localSheetId="11">#REF!</definedName>
    <definedName name="Year1Rate" localSheetId="12">#REF!</definedName>
    <definedName name="Year1Rate" localSheetId="20">#REF!</definedName>
    <definedName name="Year1Rate" localSheetId="23">#REF!</definedName>
    <definedName name="Year1Rate" localSheetId="13">#REF!</definedName>
    <definedName name="Year1Rate" localSheetId="24">#REF!</definedName>
    <definedName name="Year1Rate" localSheetId="14">#REF!</definedName>
    <definedName name="Year1Rate" localSheetId="19">#REF!</definedName>
    <definedName name="Year1Rate" localSheetId="15">#REF!</definedName>
    <definedName name="Year1Rate" localSheetId="16">#REF!</definedName>
    <definedName name="Year1Rate">#REF!</definedName>
    <definedName name="Year2Rate" localSheetId="8">#REF!</definedName>
    <definedName name="Year2Rate" localSheetId="3">#REF!</definedName>
    <definedName name="Year2Rate" localSheetId="1">#REF!</definedName>
    <definedName name="Year2Rate" localSheetId="0">#REF!</definedName>
    <definedName name="Year2Rate" localSheetId="25">#REF!</definedName>
    <definedName name="Year2Rate" localSheetId="18">#REF!</definedName>
    <definedName name="Year2Rate" localSheetId="2">#REF!</definedName>
    <definedName name="Year2Rate" localSheetId="10">#REF!</definedName>
    <definedName name="Year2Rate" localSheetId="17">#REF!</definedName>
    <definedName name="Year2Rate" localSheetId="4">#REF!</definedName>
    <definedName name="Year2Rate" localSheetId="11">#REF!</definedName>
    <definedName name="Year2Rate" localSheetId="12">#REF!</definedName>
    <definedName name="Year2Rate" localSheetId="20">#REF!</definedName>
    <definedName name="Year2Rate" localSheetId="23">#REF!</definedName>
    <definedName name="Year2Rate" localSheetId="13">#REF!</definedName>
    <definedName name="Year2Rate" localSheetId="24">#REF!</definedName>
    <definedName name="Year2Rate" localSheetId="14">#REF!</definedName>
    <definedName name="Year2Rate" localSheetId="19">#REF!</definedName>
    <definedName name="Year2Rate" localSheetId="15">#REF!</definedName>
    <definedName name="Year2Rate" localSheetId="16">#REF!</definedName>
    <definedName name="Year2Rate">#REF!</definedName>
  </definedNames>
  <calcPr calcId="145621"/>
</workbook>
</file>

<file path=xl/calcChain.xml><?xml version="1.0" encoding="utf-8"?>
<calcChain xmlns="http://schemas.openxmlformats.org/spreadsheetml/2006/main">
  <c r="F20" i="57" l="1"/>
  <c r="D25" i="56" l="1"/>
  <c r="D24" i="56"/>
  <c r="D23" i="56"/>
  <c r="D34" i="57" l="1"/>
  <c r="D33" i="57"/>
  <c r="D32" i="57"/>
  <c r="F19" i="57"/>
  <c r="L23" i="54" l="1"/>
  <c r="J23" i="54"/>
  <c r="L22" i="54"/>
  <c r="F16" i="53"/>
  <c r="F17" i="53"/>
  <c r="F18" i="53"/>
  <c r="F19" i="53"/>
  <c r="F20" i="53"/>
  <c r="F21" i="53"/>
  <c r="E16" i="53"/>
  <c r="E17" i="53"/>
  <c r="E18" i="53"/>
  <c r="E20" i="53"/>
  <c r="D16" i="53"/>
  <c r="D17" i="53"/>
  <c r="D18" i="53"/>
  <c r="D19" i="53"/>
  <c r="D20" i="53"/>
  <c r="D21" i="53"/>
  <c r="F15" i="53"/>
  <c r="D15" i="53"/>
  <c r="F6" i="53"/>
  <c r="F7" i="53"/>
  <c r="F8" i="53"/>
  <c r="F9" i="53"/>
  <c r="F10" i="53"/>
  <c r="F11" i="53"/>
  <c r="E6" i="53"/>
  <c r="E7" i="53"/>
  <c r="E8" i="53"/>
  <c r="E9" i="53"/>
  <c r="E10" i="53"/>
  <c r="E11" i="53"/>
  <c r="D6" i="53"/>
  <c r="D7" i="53"/>
  <c r="D8" i="53"/>
  <c r="D10" i="53"/>
  <c r="D11" i="53"/>
  <c r="E5" i="53"/>
  <c r="F5" i="53"/>
  <c r="F70" i="57" l="1"/>
  <c r="D70" i="57"/>
  <c r="C68" i="57"/>
  <c r="E67" i="57"/>
  <c r="C66" i="57"/>
  <c r="C65" i="57"/>
  <c r="C64" i="57"/>
  <c r="F59" i="57"/>
  <c r="E59" i="57"/>
  <c r="C58" i="57"/>
  <c r="C57" i="57"/>
  <c r="C55" i="57"/>
  <c r="C54" i="57"/>
  <c r="C53" i="57"/>
  <c r="C42" i="57"/>
  <c r="C41" i="57"/>
  <c r="E69" i="57"/>
  <c r="C34" i="57"/>
  <c r="D35" i="57"/>
  <c r="K22" i="54" s="1"/>
  <c r="C33" i="57"/>
  <c r="D56" i="57" s="1"/>
  <c r="E63" i="57"/>
  <c r="C32" i="57"/>
  <c r="F32" i="57" s="1"/>
  <c r="F23" i="57"/>
  <c r="F24" i="57"/>
  <c r="F10" i="57"/>
  <c r="F53" i="56"/>
  <c r="D53" i="56"/>
  <c r="C51" i="56"/>
  <c r="C49" i="56"/>
  <c r="C48" i="56"/>
  <c r="C47" i="56"/>
  <c r="F42" i="56"/>
  <c r="E42" i="56"/>
  <c r="D42" i="56"/>
  <c r="C41" i="56"/>
  <c r="C40" i="56"/>
  <c r="C39" i="56"/>
  <c r="C38" i="56"/>
  <c r="C37" i="56"/>
  <c r="C36" i="56"/>
  <c r="C35" i="56"/>
  <c r="E52" i="56"/>
  <c r="C52" i="56" s="1"/>
  <c r="F24" i="56"/>
  <c r="E46" i="56"/>
  <c r="F19" i="56"/>
  <c r="F13" i="56"/>
  <c r="F14" i="56" s="1"/>
  <c r="C42" i="56" l="1"/>
  <c r="F15" i="56"/>
  <c r="C56" i="57"/>
  <c r="D9" i="53"/>
  <c r="F25" i="57"/>
  <c r="F26" i="57" s="1"/>
  <c r="C69" i="57"/>
  <c r="E21" i="53"/>
  <c r="C67" i="57"/>
  <c r="E70" i="57"/>
  <c r="C63" i="57"/>
  <c r="D36" i="57"/>
  <c r="D37" i="57" s="1"/>
  <c r="F34" i="57"/>
  <c r="C43" i="57"/>
  <c r="C44" i="57" s="1"/>
  <c r="F33" i="57"/>
  <c r="C35" i="57"/>
  <c r="J22" i="54" s="1"/>
  <c r="D52" i="57"/>
  <c r="D5" i="53" s="1"/>
  <c r="C46" i="56"/>
  <c r="D26" i="56"/>
  <c r="K23" i="54" s="1"/>
  <c r="E50" i="56"/>
  <c r="C50" i="56" s="1"/>
  <c r="F23" i="56"/>
  <c r="F25" i="56"/>
  <c r="F63" i="29"/>
  <c r="E43" i="29"/>
  <c r="E42" i="29"/>
  <c r="E41" i="29"/>
  <c r="C43" i="29"/>
  <c r="C42" i="29"/>
  <c r="C41" i="29"/>
  <c r="F26" i="29"/>
  <c r="F25" i="29"/>
  <c r="F71" i="27"/>
  <c r="E44" i="27"/>
  <c r="F77" i="27"/>
  <c r="F78" i="27" s="1"/>
  <c r="E43" i="27"/>
  <c r="F27" i="57" l="1"/>
  <c r="C70" i="57"/>
  <c r="C45" i="57"/>
  <c r="C46" i="57" s="1"/>
  <c r="D59" i="57"/>
  <c r="C52" i="57"/>
  <c r="C59" i="57" s="1"/>
  <c r="F35" i="57"/>
  <c r="C36" i="57"/>
  <c r="F36" i="57" s="1"/>
  <c r="C37" i="57"/>
  <c r="F37" i="57" s="1"/>
  <c r="C53" i="56"/>
  <c r="D27" i="56"/>
  <c r="F26" i="56"/>
  <c r="E53" i="56"/>
  <c r="D52" i="33"/>
  <c r="D51" i="33"/>
  <c r="D50" i="33"/>
  <c r="C52" i="33"/>
  <c r="F38" i="33"/>
  <c r="F37" i="33"/>
  <c r="F33" i="33"/>
  <c r="F28" i="33"/>
  <c r="D28" i="56" l="1"/>
  <c r="F28" i="56" s="1"/>
  <c r="F27" i="56"/>
  <c r="F27" i="33"/>
  <c r="F23" i="33"/>
  <c r="C47" i="50" l="1"/>
  <c r="C46" i="50"/>
  <c r="F39" i="50"/>
  <c r="F35" i="50"/>
  <c r="F31" i="50"/>
  <c r="F27" i="50"/>
  <c r="F16" i="50"/>
  <c r="F20" i="50"/>
  <c r="F21" i="50"/>
  <c r="F40" i="50"/>
  <c r="C41" i="34"/>
  <c r="D67" i="34" s="1"/>
  <c r="F19" i="34"/>
  <c r="F24" i="34" s="1"/>
  <c r="F23" i="34"/>
  <c r="F22" i="27"/>
  <c r="D71" i="27"/>
  <c r="F15" i="28"/>
  <c r="D49" i="28"/>
  <c r="D63" i="29"/>
  <c r="D61" i="30"/>
  <c r="D55" i="31"/>
  <c r="D51" i="32"/>
  <c r="C50" i="33"/>
  <c r="D72" i="33"/>
  <c r="F25" i="34"/>
  <c r="C39" i="34" s="1"/>
  <c r="D70" i="50"/>
  <c r="D64" i="36"/>
  <c r="D60" i="37"/>
  <c r="D75" i="27"/>
  <c r="F16" i="28"/>
  <c r="D53" i="28"/>
  <c r="D67" i="29"/>
  <c r="D65" i="30"/>
  <c r="D59" i="31"/>
  <c r="D55" i="32"/>
  <c r="C51" i="33"/>
  <c r="D76" i="33"/>
  <c r="F26" i="34"/>
  <c r="C40" i="34" s="1"/>
  <c r="D74" i="50"/>
  <c r="D68" i="36"/>
  <c r="D64" i="37"/>
  <c r="D77" i="27"/>
  <c r="F17" i="28"/>
  <c r="D55" i="28"/>
  <c r="D69" i="29"/>
  <c r="D70" i="29" s="1"/>
  <c r="D67" i="30"/>
  <c r="D61" i="31"/>
  <c r="D57" i="32"/>
  <c r="D78" i="33"/>
  <c r="D79" i="33" s="1"/>
  <c r="F28" i="34"/>
  <c r="C48" i="50"/>
  <c r="D76" i="50"/>
  <c r="D70" i="36"/>
  <c r="D66" i="37"/>
  <c r="D60" i="27"/>
  <c r="D38" i="28"/>
  <c r="D52" i="29"/>
  <c r="D59" i="29" s="1"/>
  <c r="D50" i="30"/>
  <c r="D44" i="31"/>
  <c r="D40" i="32"/>
  <c r="D53" i="36"/>
  <c r="D49" i="37"/>
  <c r="C22" i="39"/>
  <c r="D33" i="39"/>
  <c r="D64" i="27"/>
  <c r="D42" i="28"/>
  <c r="D56" i="29"/>
  <c r="D54" i="30"/>
  <c r="D48" i="31"/>
  <c r="D44" i="32"/>
  <c r="D57" i="36"/>
  <c r="D53" i="37"/>
  <c r="C23" i="39"/>
  <c r="D37" i="39"/>
  <c r="D66" i="27"/>
  <c r="D44" i="28"/>
  <c r="D58" i="29"/>
  <c r="D56" i="30"/>
  <c r="D50" i="31"/>
  <c r="D46" i="32"/>
  <c r="D59" i="36"/>
  <c r="D55" i="37"/>
  <c r="C24" i="39"/>
  <c r="D39" i="39"/>
  <c r="F15" i="34"/>
  <c r="F11" i="34"/>
  <c r="F21" i="29"/>
  <c r="F17" i="29"/>
  <c r="F22" i="30"/>
  <c r="F18" i="30"/>
  <c r="F23" i="30"/>
  <c r="F31" i="30"/>
  <c r="F27" i="30"/>
  <c r="F32" i="30"/>
  <c r="F34" i="29"/>
  <c r="F35" i="29" s="1"/>
  <c r="F36" i="29" s="1"/>
  <c r="F30" i="29"/>
  <c r="F10" i="29"/>
  <c r="F10" i="30"/>
  <c r="F33" i="30"/>
  <c r="C41" i="27"/>
  <c r="C42" i="27"/>
  <c r="C43" i="27"/>
  <c r="C44" i="27"/>
  <c r="J6" i="54"/>
  <c r="G6" i="52"/>
  <c r="F23" i="27"/>
  <c r="D41" i="27"/>
  <c r="F24" i="27"/>
  <c r="D42" i="27"/>
  <c r="F25" i="27"/>
  <c r="D43" i="27"/>
  <c r="D44" i="27"/>
  <c r="K6" i="54"/>
  <c r="H6" i="52"/>
  <c r="E41" i="27"/>
  <c r="E42" i="27"/>
  <c r="E52" i="27"/>
  <c r="L6" i="54"/>
  <c r="C26" i="28"/>
  <c r="C27" i="28"/>
  <c r="C28" i="28"/>
  <c r="C29" i="28"/>
  <c r="J7" i="54"/>
  <c r="G7" i="52"/>
  <c r="K7" i="54"/>
  <c r="H7" i="52"/>
  <c r="L7" i="54"/>
  <c r="I7" i="52"/>
  <c r="J7" i="52"/>
  <c r="F41" i="29"/>
  <c r="D41" i="29"/>
  <c r="D42" i="29"/>
  <c r="D43" i="29"/>
  <c r="D44" i="29"/>
  <c r="K8" i="54" s="1"/>
  <c r="E44" i="29"/>
  <c r="F42" i="29"/>
  <c r="F43" i="29"/>
  <c r="M7" i="54"/>
  <c r="F14" i="33"/>
  <c r="E69" i="29"/>
  <c r="E67" i="29"/>
  <c r="F67" i="29"/>
  <c r="E63" i="29"/>
  <c r="E56" i="28"/>
  <c r="F56" i="28"/>
  <c r="C52" i="29"/>
  <c r="C59" i="29" s="1"/>
  <c r="C53" i="29"/>
  <c r="C54" i="29"/>
  <c r="C55" i="29"/>
  <c r="C56" i="29"/>
  <c r="C57" i="29"/>
  <c r="C58" i="29"/>
  <c r="E22" i="38"/>
  <c r="F35" i="38"/>
  <c r="F54" i="43"/>
  <c r="F56" i="43"/>
  <c r="F10" i="37"/>
  <c r="E48" i="50"/>
  <c r="E47" i="50"/>
  <c r="E46" i="50"/>
  <c r="F70" i="50"/>
  <c r="D48" i="50"/>
  <c r="E76" i="50"/>
  <c r="D47" i="50"/>
  <c r="E74" i="50"/>
  <c r="D46" i="50"/>
  <c r="E40" i="34"/>
  <c r="F65" i="34" s="1"/>
  <c r="E39" i="34"/>
  <c r="F61" i="34" s="1"/>
  <c r="D41" i="34"/>
  <c r="D39" i="34"/>
  <c r="E61" i="34" s="1"/>
  <c r="D40" i="34"/>
  <c r="E65" i="34" s="1"/>
  <c r="F42" i="33"/>
  <c r="E51" i="33"/>
  <c r="F51" i="33"/>
  <c r="E50" i="33"/>
  <c r="F50" i="33"/>
  <c r="F52" i="33"/>
  <c r="F19" i="33"/>
  <c r="C50" i="30"/>
  <c r="C38" i="30"/>
  <c r="E67" i="30"/>
  <c r="E65" i="30"/>
  <c r="E61" i="30"/>
  <c r="E68" i="30"/>
  <c r="E40" i="30"/>
  <c r="F67" i="30"/>
  <c r="C39" i="30"/>
  <c r="C40" i="30"/>
  <c r="C41" i="30"/>
  <c r="E39" i="30"/>
  <c r="E38" i="30"/>
  <c r="D39" i="30"/>
  <c r="D40" i="30"/>
  <c r="D38" i="30"/>
  <c r="D41" i="30"/>
  <c r="F69" i="29"/>
  <c r="C63" i="29"/>
  <c r="F67" i="43"/>
  <c r="F65" i="43"/>
  <c r="F64" i="43"/>
  <c r="F61" i="43"/>
  <c r="F18" i="43"/>
  <c r="F22" i="43"/>
  <c r="E32" i="43"/>
  <c r="E31" i="43"/>
  <c r="E30" i="43"/>
  <c r="F30" i="43"/>
  <c r="E29" i="43"/>
  <c r="C51" i="43"/>
  <c r="C52" i="43"/>
  <c r="C53" i="43"/>
  <c r="C55" i="43"/>
  <c r="F50" i="43"/>
  <c r="C50" i="43"/>
  <c r="F23" i="43"/>
  <c r="F10" i="43"/>
  <c r="F24" i="43"/>
  <c r="F25" i="43"/>
  <c r="C56" i="43"/>
  <c r="C54" i="43"/>
  <c r="D51" i="27"/>
  <c r="D33" i="31"/>
  <c r="E55" i="31"/>
  <c r="D29" i="32"/>
  <c r="E51" i="32"/>
  <c r="E70" i="50"/>
  <c r="D30" i="37"/>
  <c r="E60" i="37"/>
  <c r="E15" i="53" s="1"/>
  <c r="F75" i="27"/>
  <c r="E77" i="27"/>
  <c r="C55" i="28"/>
  <c r="C49" i="28"/>
  <c r="C50" i="28"/>
  <c r="C51" i="28"/>
  <c r="C52" i="28"/>
  <c r="C53" i="28"/>
  <c r="C54" i="28"/>
  <c r="C56" i="28"/>
  <c r="D45" i="28"/>
  <c r="F61" i="31"/>
  <c r="D35" i="31"/>
  <c r="E61" i="31"/>
  <c r="C61" i="31"/>
  <c r="D34" i="31"/>
  <c r="E59" i="31"/>
  <c r="D62" i="31"/>
  <c r="C50" i="31"/>
  <c r="D31" i="32"/>
  <c r="E57" i="32"/>
  <c r="D30" i="32"/>
  <c r="E55" i="32"/>
  <c r="C57" i="32"/>
  <c r="D58" i="32"/>
  <c r="C46" i="32"/>
  <c r="F72" i="33"/>
  <c r="F76" i="50"/>
  <c r="F74" i="50"/>
  <c r="C70" i="36"/>
  <c r="C57" i="36"/>
  <c r="C53" i="36"/>
  <c r="C54" i="36"/>
  <c r="C55" i="36"/>
  <c r="C56" i="36"/>
  <c r="C58" i="36"/>
  <c r="C59" i="36"/>
  <c r="C60" i="36"/>
  <c r="D32" i="37"/>
  <c r="E66" i="37"/>
  <c r="D31" i="37"/>
  <c r="E64" i="37"/>
  <c r="E19" i="53" s="1"/>
  <c r="C66" i="37"/>
  <c r="C55" i="37"/>
  <c r="D56" i="37"/>
  <c r="E68" i="43"/>
  <c r="D68" i="43"/>
  <c r="C67" i="43"/>
  <c r="C66" i="43"/>
  <c r="C65" i="43"/>
  <c r="C64" i="43"/>
  <c r="C63" i="43"/>
  <c r="C62" i="43"/>
  <c r="C61" i="43"/>
  <c r="C68" i="43"/>
  <c r="F57" i="43"/>
  <c r="E57" i="43"/>
  <c r="D57" i="43"/>
  <c r="F51" i="39"/>
  <c r="E51" i="39"/>
  <c r="D51" i="39"/>
  <c r="C50" i="39"/>
  <c r="C49" i="39"/>
  <c r="C48" i="39"/>
  <c r="C47" i="39"/>
  <c r="C46" i="39"/>
  <c r="C45" i="39"/>
  <c r="C44" i="39"/>
  <c r="F40" i="39"/>
  <c r="E40" i="39"/>
  <c r="C39" i="39"/>
  <c r="C38" i="39"/>
  <c r="C36" i="39"/>
  <c r="C35" i="39"/>
  <c r="C34" i="39"/>
  <c r="C33" i="39"/>
  <c r="F67" i="37"/>
  <c r="C65" i="37"/>
  <c r="C63" i="37"/>
  <c r="C62" i="37"/>
  <c r="C61" i="37"/>
  <c r="C60" i="37"/>
  <c r="F56" i="37"/>
  <c r="E56" i="37"/>
  <c r="C54" i="37"/>
  <c r="C53" i="37"/>
  <c r="C52" i="37"/>
  <c r="C51" i="37"/>
  <c r="C50" i="37"/>
  <c r="C49" i="37"/>
  <c r="C56" i="37"/>
  <c r="F49" i="38"/>
  <c r="E49" i="38"/>
  <c r="D49" i="38"/>
  <c r="C48" i="38"/>
  <c r="C47" i="38"/>
  <c r="C46" i="38"/>
  <c r="C45" i="38"/>
  <c r="C44" i="38"/>
  <c r="C43" i="38"/>
  <c r="C42" i="38"/>
  <c r="E38" i="38"/>
  <c r="D38" i="38"/>
  <c r="C37" i="38"/>
  <c r="C36" i="38"/>
  <c r="C34" i="38"/>
  <c r="C33" i="38"/>
  <c r="C32" i="38"/>
  <c r="E71" i="36"/>
  <c r="D71" i="36"/>
  <c r="C69" i="36"/>
  <c r="C68" i="36"/>
  <c r="C67" i="36"/>
  <c r="C66" i="36"/>
  <c r="C65" i="36"/>
  <c r="F60" i="36"/>
  <c r="E60" i="36"/>
  <c r="C75" i="50"/>
  <c r="C73" i="50"/>
  <c r="C72" i="50"/>
  <c r="C71" i="50"/>
  <c r="F66" i="50"/>
  <c r="E66" i="50"/>
  <c r="D66" i="50"/>
  <c r="C65" i="50"/>
  <c r="C64" i="50"/>
  <c r="C63" i="50"/>
  <c r="C62" i="50"/>
  <c r="C61" i="50"/>
  <c r="C60" i="50"/>
  <c r="C59" i="50"/>
  <c r="F57" i="34"/>
  <c r="E57" i="34"/>
  <c r="D57" i="34"/>
  <c r="C56" i="34"/>
  <c r="C55" i="34"/>
  <c r="C54" i="34"/>
  <c r="C53" i="34"/>
  <c r="C52" i="34"/>
  <c r="C51" i="34"/>
  <c r="C50" i="34"/>
  <c r="C66" i="34"/>
  <c r="C64" i="34"/>
  <c r="C63" i="34"/>
  <c r="C62" i="34"/>
  <c r="C77" i="33"/>
  <c r="C75" i="33"/>
  <c r="C74" i="33"/>
  <c r="C73" i="33"/>
  <c r="F68" i="33"/>
  <c r="E68" i="33"/>
  <c r="D68" i="33"/>
  <c r="C67" i="33"/>
  <c r="C66" i="33"/>
  <c r="C65" i="33"/>
  <c r="C64" i="33"/>
  <c r="C63" i="33"/>
  <c r="C62" i="33"/>
  <c r="C61" i="33"/>
  <c r="F58" i="32"/>
  <c r="C56" i="32"/>
  <c r="C54" i="32"/>
  <c r="C53" i="32"/>
  <c r="C52" i="32"/>
  <c r="C51" i="32"/>
  <c r="C55" i="32"/>
  <c r="C58" i="32"/>
  <c r="F47" i="32"/>
  <c r="E47" i="32"/>
  <c r="C45" i="32"/>
  <c r="C43" i="32"/>
  <c r="C42" i="32"/>
  <c r="C41" i="32"/>
  <c r="C40" i="32"/>
  <c r="C60" i="31"/>
  <c r="C58" i="31"/>
  <c r="C57" i="31"/>
  <c r="C56" i="31"/>
  <c r="F51" i="31"/>
  <c r="E51" i="31"/>
  <c r="C49" i="31"/>
  <c r="C48" i="31"/>
  <c r="C47" i="31"/>
  <c r="C46" i="31"/>
  <c r="C45" i="31"/>
  <c r="C44" i="31"/>
  <c r="C51" i="31"/>
  <c r="C66" i="30"/>
  <c r="C62" i="30"/>
  <c r="F57" i="30"/>
  <c r="E57" i="30"/>
  <c r="C56" i="30"/>
  <c r="C55" i="30"/>
  <c r="C53" i="30"/>
  <c r="C52" i="30"/>
  <c r="C51" i="30"/>
  <c r="C68" i="29"/>
  <c r="C66" i="29"/>
  <c r="C65" i="29"/>
  <c r="C64" i="29"/>
  <c r="F59" i="29"/>
  <c r="E59" i="29"/>
  <c r="F45" i="28"/>
  <c r="E45" i="28"/>
  <c r="C43" i="28"/>
  <c r="C42" i="28"/>
  <c r="C41" i="28"/>
  <c r="C40" i="28"/>
  <c r="C39" i="28"/>
  <c r="C38" i="28"/>
  <c r="D78" i="27"/>
  <c r="C76" i="27"/>
  <c r="C74" i="27"/>
  <c r="C73" i="27"/>
  <c r="C72" i="27"/>
  <c r="F67" i="27"/>
  <c r="E67" i="27"/>
  <c r="D67" i="27"/>
  <c r="C66" i="27"/>
  <c r="C65" i="27"/>
  <c r="C64" i="27"/>
  <c r="C63" i="27"/>
  <c r="C62" i="27"/>
  <c r="C61" i="27"/>
  <c r="C60" i="27"/>
  <c r="C67" i="27"/>
  <c r="D33" i="37"/>
  <c r="D35" i="37" s="1"/>
  <c r="F35" i="37" s="1"/>
  <c r="K20" i="54"/>
  <c r="M20" i="54" s="1"/>
  <c r="D23" i="45"/>
  <c r="M22" i="54"/>
  <c r="E52" i="33"/>
  <c r="E78" i="33"/>
  <c r="J24" i="54"/>
  <c r="G24" i="52"/>
  <c r="I23" i="52"/>
  <c r="G23" i="52"/>
  <c r="K21" i="54"/>
  <c r="H21" i="52"/>
  <c r="L21" i="54"/>
  <c r="I21" i="52"/>
  <c r="L20" i="54"/>
  <c r="I20" i="52"/>
  <c r="K19" i="54"/>
  <c r="H19" i="52"/>
  <c r="J19" i="54"/>
  <c r="G19" i="52"/>
  <c r="K18" i="54"/>
  <c r="H18" i="52"/>
  <c r="L12" i="54"/>
  <c r="I12" i="52"/>
  <c r="I23" i="54"/>
  <c r="I21" i="54"/>
  <c r="F29" i="39" s="1"/>
  <c r="G19" i="54"/>
  <c r="D27" i="38" s="1"/>
  <c r="H24" i="54"/>
  <c r="E46" i="43" s="1"/>
  <c r="I24" i="54"/>
  <c r="V24" i="54" s="1"/>
  <c r="N24" i="54"/>
  <c r="O24" i="54"/>
  <c r="P24" i="54"/>
  <c r="Q24" i="54"/>
  <c r="R24" i="54"/>
  <c r="H23" i="54"/>
  <c r="H22" i="54"/>
  <c r="I22" i="54"/>
  <c r="H21" i="54"/>
  <c r="E29" i="39" s="1"/>
  <c r="N21" i="54"/>
  <c r="O21" i="54"/>
  <c r="P21" i="54"/>
  <c r="Q21" i="54"/>
  <c r="R21" i="54"/>
  <c r="I20" i="54"/>
  <c r="F37" i="37" s="1"/>
  <c r="N20" i="54"/>
  <c r="O20" i="54"/>
  <c r="P20" i="54"/>
  <c r="Q20" i="54"/>
  <c r="R20" i="54"/>
  <c r="I19" i="54"/>
  <c r="F27" i="38" s="1"/>
  <c r="N19" i="54"/>
  <c r="O19" i="54"/>
  <c r="P19" i="54"/>
  <c r="Q19" i="54"/>
  <c r="R19" i="54"/>
  <c r="I18" i="54"/>
  <c r="F49" i="36" s="1"/>
  <c r="N16" i="54"/>
  <c r="O16" i="54"/>
  <c r="P16" i="54"/>
  <c r="Q16" i="54"/>
  <c r="H15" i="54"/>
  <c r="E46" i="34" s="1"/>
  <c r="N15" i="54"/>
  <c r="O15" i="54"/>
  <c r="P15" i="54"/>
  <c r="Q15" i="54"/>
  <c r="H12" i="54"/>
  <c r="E36" i="32" s="1"/>
  <c r="N12" i="54"/>
  <c r="N9" i="54" s="1"/>
  <c r="O12" i="54"/>
  <c r="O9" i="54" s="1"/>
  <c r="P12" i="54"/>
  <c r="P9" i="54" s="1"/>
  <c r="Q12" i="54"/>
  <c r="H11" i="54"/>
  <c r="E40" i="31" s="1"/>
  <c r="H10" i="54"/>
  <c r="E45" i="30" s="1"/>
  <c r="H8" i="54"/>
  <c r="E48" i="29" s="1"/>
  <c r="G7" i="54"/>
  <c r="D33" i="28" s="1"/>
  <c r="H7" i="54"/>
  <c r="E33" i="28" s="1"/>
  <c r="N6" i="54"/>
  <c r="N5" i="54" s="1"/>
  <c r="O6" i="54"/>
  <c r="O5" i="54" s="1"/>
  <c r="P6" i="54"/>
  <c r="P5" i="54" s="1"/>
  <c r="Q6" i="54"/>
  <c r="R6" i="54"/>
  <c r="G24" i="54"/>
  <c r="D46" i="43" s="1"/>
  <c r="G23" i="54"/>
  <c r="T23" i="54" s="1"/>
  <c r="G22" i="54"/>
  <c r="T22" i="54" s="1"/>
  <c r="G21" i="54"/>
  <c r="D29" i="39" s="1"/>
  <c r="G20" i="54"/>
  <c r="D37" i="37" s="1"/>
  <c r="H20" i="54"/>
  <c r="E37" i="37" s="1"/>
  <c r="H19" i="54"/>
  <c r="U19" i="54" s="1"/>
  <c r="G18" i="54"/>
  <c r="D49" i="36" s="1"/>
  <c r="H18" i="54"/>
  <c r="U18" i="54" s="1"/>
  <c r="G16" i="54"/>
  <c r="D54" i="50" s="1"/>
  <c r="H16" i="54"/>
  <c r="E54" i="50" s="1"/>
  <c r="G15" i="54"/>
  <c r="D46" i="34" s="1"/>
  <c r="G14" i="54"/>
  <c r="D57" i="33" s="1"/>
  <c r="H14" i="54"/>
  <c r="E57" i="33" s="1"/>
  <c r="F16" i="54"/>
  <c r="C54" i="50" s="1"/>
  <c r="F15" i="54"/>
  <c r="C46" i="34" s="1"/>
  <c r="F14" i="54"/>
  <c r="C57" i="33" s="1"/>
  <c r="G12" i="54"/>
  <c r="T12" i="54" s="1"/>
  <c r="G11" i="54"/>
  <c r="T11" i="54" s="1"/>
  <c r="G10" i="54"/>
  <c r="T10" i="54" s="1"/>
  <c r="F12" i="54"/>
  <c r="F11" i="54"/>
  <c r="F10" i="54"/>
  <c r="C45" i="30" s="1"/>
  <c r="G8" i="54"/>
  <c r="D48" i="29" s="1"/>
  <c r="F8" i="54"/>
  <c r="C48" i="29" s="1"/>
  <c r="F7" i="54"/>
  <c r="S7" i="54" s="1"/>
  <c r="G6" i="54"/>
  <c r="T6" i="54" s="1"/>
  <c r="H6" i="54"/>
  <c r="E56" i="27" s="1"/>
  <c r="F6" i="54"/>
  <c r="S6" i="54" s="1"/>
  <c r="F24" i="54"/>
  <c r="S24" i="54" s="1"/>
  <c r="F23" i="54"/>
  <c r="F22" i="54"/>
  <c r="F21" i="54"/>
  <c r="C29" i="39" s="1"/>
  <c r="F20" i="54"/>
  <c r="C37" i="37" s="1"/>
  <c r="F19" i="54"/>
  <c r="C27" i="38" s="1"/>
  <c r="F18" i="54"/>
  <c r="S18" i="54" s="1"/>
  <c r="C49" i="36"/>
  <c r="E24" i="54"/>
  <c r="Q23" i="54"/>
  <c r="E23" i="54"/>
  <c r="Q22" i="54"/>
  <c r="E22" i="54"/>
  <c r="E21" i="54"/>
  <c r="E20" i="54"/>
  <c r="E19" i="54"/>
  <c r="Q18" i="54"/>
  <c r="E18" i="54"/>
  <c r="D17" i="54"/>
  <c r="C17" i="54"/>
  <c r="B17" i="54"/>
  <c r="E16" i="54"/>
  <c r="E15" i="54"/>
  <c r="Q14" i="54"/>
  <c r="E14" i="54"/>
  <c r="D13" i="54"/>
  <c r="C13" i="54"/>
  <c r="B13" i="54"/>
  <c r="E12" i="54"/>
  <c r="Q11" i="54"/>
  <c r="E11" i="54"/>
  <c r="Q10" i="54"/>
  <c r="E10" i="54"/>
  <c r="D9" i="54"/>
  <c r="C9" i="54"/>
  <c r="B9" i="54"/>
  <c r="Q8" i="54"/>
  <c r="E8" i="54"/>
  <c r="E6" i="54"/>
  <c r="E7" i="54"/>
  <c r="E5" i="54"/>
  <c r="Q7" i="54"/>
  <c r="D5" i="54"/>
  <c r="D4" i="54"/>
  <c r="C5" i="54"/>
  <c r="B5" i="54"/>
  <c r="L3" i="54"/>
  <c r="K3" i="54"/>
  <c r="H3" i="54"/>
  <c r="C4" i="54"/>
  <c r="B4" i="54"/>
  <c r="D25" i="54"/>
  <c r="D26" i="54"/>
  <c r="D27" i="54"/>
  <c r="B25" i="54"/>
  <c r="B26" i="54"/>
  <c r="C25" i="54"/>
  <c r="D33" i="43"/>
  <c r="K24" i="54"/>
  <c r="F32" i="43"/>
  <c r="F31" i="43"/>
  <c r="E34" i="36"/>
  <c r="E35" i="36"/>
  <c r="E33" i="36"/>
  <c r="F64" i="36"/>
  <c r="C32" i="37"/>
  <c r="F32" i="37"/>
  <c r="D34" i="37"/>
  <c r="C30" i="37"/>
  <c r="F30" i="37"/>
  <c r="C31" i="37"/>
  <c r="F22" i="38"/>
  <c r="E23" i="38"/>
  <c r="F23" i="38"/>
  <c r="F14" i="38"/>
  <c r="F10" i="38"/>
  <c r="F15" i="38"/>
  <c r="E21" i="38"/>
  <c r="F31" i="38"/>
  <c r="C31" i="38"/>
  <c r="E41" i="34"/>
  <c r="F67" i="34" s="1"/>
  <c r="C30" i="32"/>
  <c r="F30" i="32"/>
  <c r="C31" i="32"/>
  <c r="C29" i="32"/>
  <c r="C32" i="32"/>
  <c r="F10" i="27"/>
  <c r="F18" i="27"/>
  <c r="F28" i="28"/>
  <c r="N24" i="52"/>
  <c r="F24" i="52"/>
  <c r="N23" i="52"/>
  <c r="F23" i="52"/>
  <c r="N22" i="52"/>
  <c r="F22" i="52"/>
  <c r="N21" i="52"/>
  <c r="F21" i="52"/>
  <c r="N20" i="52"/>
  <c r="F20" i="52"/>
  <c r="N19" i="52"/>
  <c r="F19" i="52"/>
  <c r="N18" i="52"/>
  <c r="N17" i="52"/>
  <c r="F18" i="52"/>
  <c r="F17" i="52"/>
  <c r="M17" i="52"/>
  <c r="L17" i="52"/>
  <c r="K17" i="52"/>
  <c r="E17" i="52"/>
  <c r="D17" i="52"/>
  <c r="C17" i="52"/>
  <c r="N16" i="52"/>
  <c r="F16" i="52"/>
  <c r="N15" i="52"/>
  <c r="F15" i="52"/>
  <c r="N14" i="52"/>
  <c r="F14" i="52"/>
  <c r="F13" i="52"/>
  <c r="M13" i="52"/>
  <c r="L13" i="52"/>
  <c r="K13" i="52"/>
  <c r="N13" i="52"/>
  <c r="E13" i="52"/>
  <c r="D13" i="52"/>
  <c r="C13" i="52"/>
  <c r="C9" i="52"/>
  <c r="C5" i="52"/>
  <c r="C25" i="52"/>
  <c r="N12" i="52"/>
  <c r="F12" i="52"/>
  <c r="N11" i="52"/>
  <c r="F11" i="52"/>
  <c r="N10" i="52"/>
  <c r="F10" i="52"/>
  <c r="F9" i="52"/>
  <c r="M9" i="52"/>
  <c r="K9" i="52"/>
  <c r="L9" i="52"/>
  <c r="N9" i="52"/>
  <c r="E9" i="52"/>
  <c r="E5" i="52"/>
  <c r="E25" i="52"/>
  <c r="D9" i="52"/>
  <c r="N8" i="52"/>
  <c r="F8" i="52"/>
  <c r="F6" i="52"/>
  <c r="F7" i="52"/>
  <c r="F5" i="52"/>
  <c r="F4" i="52"/>
  <c r="N7" i="52"/>
  <c r="N6" i="52"/>
  <c r="M5" i="52"/>
  <c r="M4" i="52"/>
  <c r="L5" i="52"/>
  <c r="K5" i="52"/>
  <c r="N5" i="52"/>
  <c r="E4" i="52"/>
  <c r="D5" i="52"/>
  <c r="D25" i="52"/>
  <c r="C4" i="52"/>
  <c r="F10" i="39"/>
  <c r="F14" i="39"/>
  <c r="F15" i="39"/>
  <c r="F16" i="39"/>
  <c r="C39" i="43"/>
  <c r="E50" i="27"/>
  <c r="E33" i="31"/>
  <c r="D42" i="36"/>
  <c r="C40" i="43"/>
  <c r="E34" i="31"/>
  <c r="D43" i="36"/>
  <c r="C41" i="43"/>
  <c r="D44" i="36"/>
  <c r="C44" i="36"/>
  <c r="E44" i="36"/>
  <c r="C42" i="43"/>
  <c r="F12" i="44"/>
  <c r="C50" i="27"/>
  <c r="C42" i="36"/>
  <c r="C40" i="37"/>
  <c r="C41" i="37"/>
  <c r="C42" i="37"/>
  <c r="C43" i="37"/>
  <c r="C51" i="27"/>
  <c r="C52" i="27"/>
  <c r="C53" i="27"/>
  <c r="C43" i="36"/>
  <c r="E43" i="36"/>
  <c r="E42" i="36"/>
  <c r="E45" i="36"/>
  <c r="E46" i="36"/>
  <c r="D14" i="44"/>
  <c r="C5" i="44"/>
  <c r="D5" i="44" s="1"/>
  <c r="C6" i="44"/>
  <c r="D6" i="44" s="1"/>
  <c r="C7" i="44"/>
  <c r="D7" i="44" s="1"/>
  <c r="C33" i="36"/>
  <c r="C34" i="36"/>
  <c r="C35" i="36"/>
  <c r="C36" i="36"/>
  <c r="F33" i="36"/>
  <c r="F34" i="36"/>
  <c r="F35" i="36"/>
  <c r="F11" i="28"/>
  <c r="C33" i="31"/>
  <c r="C34" i="31"/>
  <c r="C35" i="31"/>
  <c r="F35" i="31"/>
  <c r="F29" i="32"/>
  <c r="C15" i="45"/>
  <c r="C14" i="45" s="1"/>
  <c r="E15" i="45"/>
  <c r="E14" i="45" s="1"/>
  <c r="E7" i="45"/>
  <c r="E41" i="30"/>
  <c r="E11" i="45"/>
  <c r="E36" i="31"/>
  <c r="E12" i="45"/>
  <c r="E10" i="45"/>
  <c r="C16" i="45"/>
  <c r="F16" i="45" s="1"/>
  <c r="C17" i="45"/>
  <c r="F17" i="45"/>
  <c r="D17" i="45"/>
  <c r="E17" i="45"/>
  <c r="F18" i="37"/>
  <c r="F23" i="37"/>
  <c r="F24" i="37" s="1"/>
  <c r="F25" i="37" s="1"/>
  <c r="F10" i="36"/>
  <c r="F17" i="36"/>
  <c r="F21" i="36"/>
  <c r="F25" i="36"/>
  <c r="F26" i="36"/>
  <c r="F5" i="44"/>
  <c r="F6" i="44"/>
  <c r="F7" i="44"/>
  <c r="D42" i="37"/>
  <c r="D41" i="37"/>
  <c r="E41" i="37" s="1"/>
  <c r="C13" i="44" s="1"/>
  <c r="C12" i="44"/>
  <c r="D40" i="37"/>
  <c r="F10" i="31"/>
  <c r="F18" i="31"/>
  <c r="F22" i="31"/>
  <c r="F25" i="31"/>
  <c r="F18" i="32"/>
  <c r="F22" i="32"/>
  <c r="F10" i="32"/>
  <c r="F30" i="27"/>
  <c r="F34" i="27"/>
  <c r="C10" i="24"/>
  <c r="C19" i="24"/>
  <c r="F32" i="24"/>
  <c r="C9" i="24"/>
  <c r="C18" i="24"/>
  <c r="F31" i="24"/>
  <c r="C8" i="24"/>
  <c r="C17" i="24"/>
  <c r="F30" i="24"/>
  <c r="C7" i="24"/>
  <c r="C16" i="24"/>
  <c r="F29" i="24"/>
  <c r="C6" i="24"/>
  <c r="C15" i="24"/>
  <c r="F28" i="24"/>
  <c r="C5" i="24"/>
  <c r="C14" i="24"/>
  <c r="F27" i="24"/>
  <c r="F33" i="24"/>
  <c r="D15" i="24"/>
  <c r="D16" i="24"/>
  <c r="D17" i="24"/>
  <c r="D18" i="24"/>
  <c r="D19" i="24"/>
  <c r="D14" i="24"/>
  <c r="D20" i="24"/>
  <c r="D5" i="24"/>
  <c r="D11" i="24"/>
  <c r="D21" i="24"/>
  <c r="D6" i="24"/>
  <c r="D7" i="24"/>
  <c r="D8" i="24"/>
  <c r="D9" i="24"/>
  <c r="D10" i="24"/>
  <c r="F15" i="24"/>
  <c r="F16" i="24"/>
  <c r="F17" i="24"/>
  <c r="F18" i="24"/>
  <c r="F19" i="24"/>
  <c r="F14" i="24"/>
  <c r="F20" i="24"/>
  <c r="E15" i="24"/>
  <c r="E16" i="24"/>
  <c r="E17" i="24"/>
  <c r="E18" i="24"/>
  <c r="E19" i="24"/>
  <c r="E14" i="24"/>
  <c r="D4" i="25"/>
  <c r="D8" i="25"/>
  <c r="D12" i="25"/>
  <c r="D3" i="25"/>
  <c r="E4" i="25"/>
  <c r="E8" i="25"/>
  <c r="E12" i="25"/>
  <c r="E3" i="25"/>
  <c r="F5" i="25"/>
  <c r="F7" i="25"/>
  <c r="C7" i="25"/>
  <c r="F9" i="25"/>
  <c r="F10" i="25"/>
  <c r="F8" i="25"/>
  <c r="F13" i="25"/>
  <c r="C13" i="25"/>
  <c r="F14" i="25"/>
  <c r="C14" i="25"/>
  <c r="C15" i="25"/>
  <c r="C12" i="25"/>
  <c r="F12" i="25"/>
  <c r="C6" i="25"/>
  <c r="C9" i="25"/>
  <c r="C10" i="25"/>
  <c r="C11" i="25"/>
  <c r="C8" i="25"/>
  <c r="D16" i="25"/>
  <c r="E16" i="25"/>
  <c r="E24" i="25"/>
  <c r="E25" i="25"/>
  <c r="F23" i="25"/>
  <c r="C23" i="25"/>
  <c r="F18" i="25"/>
  <c r="F17" i="25"/>
  <c r="F16" i="25"/>
  <c r="C18" i="25"/>
  <c r="C17" i="25"/>
  <c r="C16" i="25"/>
  <c r="D24" i="25"/>
  <c r="D25" i="25"/>
  <c r="E26" i="25"/>
  <c r="C19" i="25"/>
  <c r="C20" i="25"/>
  <c r="C21" i="25"/>
  <c r="C22" i="25"/>
  <c r="F6" i="24"/>
  <c r="F7" i="24"/>
  <c r="F8" i="24"/>
  <c r="F9" i="24"/>
  <c r="F10" i="24"/>
  <c r="F5" i="24"/>
  <c r="F11" i="24"/>
  <c r="F21" i="24"/>
  <c r="E20" i="24"/>
  <c r="U5" i="20"/>
  <c r="H5" i="20"/>
  <c r="E5" i="24"/>
  <c r="E11" i="24"/>
  <c r="E21" i="24"/>
  <c r="U6" i="20"/>
  <c r="H6" i="20"/>
  <c r="U7" i="20"/>
  <c r="H7" i="20"/>
  <c r="E7" i="24"/>
  <c r="U8" i="20"/>
  <c r="U9" i="20"/>
  <c r="U10" i="20"/>
  <c r="U11" i="20"/>
  <c r="U12" i="20"/>
  <c r="H9" i="20"/>
  <c r="E9" i="24"/>
  <c r="H11" i="20"/>
  <c r="E10" i="24"/>
  <c r="C20" i="24"/>
  <c r="C11" i="24"/>
  <c r="C21" i="24"/>
  <c r="AA19" i="20"/>
  <c r="I19" i="20"/>
  <c r="O21" i="20"/>
  <c r="G21" i="20"/>
  <c r="O9" i="20"/>
  <c r="G9" i="20"/>
  <c r="Z22" i="20"/>
  <c r="Y22" i="20"/>
  <c r="X22" i="20"/>
  <c r="T22" i="20"/>
  <c r="S22" i="20"/>
  <c r="S12" i="20"/>
  <c r="S23" i="20"/>
  <c r="R22" i="20"/>
  <c r="R12" i="20"/>
  <c r="R23" i="20"/>
  <c r="R24" i="20"/>
  <c r="N22" i="20"/>
  <c r="M22" i="20"/>
  <c r="L22" i="20"/>
  <c r="AA21" i="20"/>
  <c r="I21" i="20"/>
  <c r="U21" i="20"/>
  <c r="H21" i="20"/>
  <c r="E21" i="20"/>
  <c r="D21" i="20"/>
  <c r="C21" i="20"/>
  <c r="AA20" i="20"/>
  <c r="I20" i="20"/>
  <c r="U20" i="20"/>
  <c r="H20" i="20"/>
  <c r="O20" i="20"/>
  <c r="G20" i="20"/>
  <c r="E20" i="20"/>
  <c r="D20" i="20"/>
  <c r="C20" i="20"/>
  <c r="U19" i="20"/>
  <c r="H19" i="20"/>
  <c r="O19" i="20"/>
  <c r="G19" i="20"/>
  <c r="E19" i="20"/>
  <c r="C19" i="20"/>
  <c r="D19" i="20"/>
  <c r="F19" i="20"/>
  <c r="AA18" i="20"/>
  <c r="I18" i="20"/>
  <c r="U18" i="20"/>
  <c r="H18" i="20"/>
  <c r="O18" i="20"/>
  <c r="G18" i="20"/>
  <c r="E18" i="20"/>
  <c r="D18" i="20"/>
  <c r="C18" i="20"/>
  <c r="AA17" i="20"/>
  <c r="I17" i="20"/>
  <c r="U17" i="20"/>
  <c r="H17" i="20"/>
  <c r="O17" i="20"/>
  <c r="E17" i="20"/>
  <c r="D17" i="20"/>
  <c r="C17" i="20"/>
  <c r="AA16" i="20"/>
  <c r="I16" i="20"/>
  <c r="U16" i="20"/>
  <c r="H16" i="20"/>
  <c r="O16" i="20"/>
  <c r="G16" i="20"/>
  <c r="E16" i="20"/>
  <c r="D16" i="20"/>
  <c r="C16" i="20"/>
  <c r="C15" i="20"/>
  <c r="C22" i="20"/>
  <c r="AA15" i="20"/>
  <c r="I15" i="20"/>
  <c r="I22" i="20"/>
  <c r="U15" i="20"/>
  <c r="O15" i="20"/>
  <c r="G15" i="20"/>
  <c r="E15" i="20"/>
  <c r="D15" i="20"/>
  <c r="F15" i="20"/>
  <c r="Z12" i="20"/>
  <c r="Z23" i="20"/>
  <c r="Z24" i="20"/>
  <c r="Z25" i="20"/>
  <c r="Y12" i="20"/>
  <c r="X12" i="20"/>
  <c r="T12" i="20"/>
  <c r="N12" i="20"/>
  <c r="N23" i="20"/>
  <c r="M12" i="20"/>
  <c r="L12" i="20"/>
  <c r="AA11" i="20"/>
  <c r="I11" i="20"/>
  <c r="O11" i="20"/>
  <c r="G11" i="20"/>
  <c r="E11" i="20"/>
  <c r="D11" i="20"/>
  <c r="C11" i="20"/>
  <c r="AA10" i="20"/>
  <c r="I10" i="20"/>
  <c r="H10" i="20"/>
  <c r="O10" i="20"/>
  <c r="G10" i="20"/>
  <c r="E10" i="20"/>
  <c r="D10" i="20"/>
  <c r="C10" i="20"/>
  <c r="F10" i="20"/>
  <c r="AA9" i="20"/>
  <c r="I9" i="20"/>
  <c r="E9" i="20"/>
  <c r="D9" i="20"/>
  <c r="C9" i="20"/>
  <c r="AA8" i="20"/>
  <c r="O8" i="20"/>
  <c r="G8" i="20"/>
  <c r="E8" i="20"/>
  <c r="D8" i="20"/>
  <c r="C8" i="20"/>
  <c r="AA7" i="20"/>
  <c r="I7" i="20"/>
  <c r="O7" i="20"/>
  <c r="G7" i="20"/>
  <c r="E7" i="20"/>
  <c r="C7" i="20"/>
  <c r="D7" i="20"/>
  <c r="F7" i="20"/>
  <c r="AA6" i="20"/>
  <c r="I6" i="20"/>
  <c r="O6" i="20"/>
  <c r="E6" i="20"/>
  <c r="E5" i="20"/>
  <c r="E12" i="20"/>
  <c r="D6" i="20"/>
  <c r="C6" i="20"/>
  <c r="AA5" i="20"/>
  <c r="I5" i="20"/>
  <c r="O5" i="20"/>
  <c r="G5" i="20"/>
  <c r="D5" i="20"/>
  <c r="D12" i="20"/>
  <c r="C5" i="20"/>
  <c r="L23" i="20"/>
  <c r="X23" i="20"/>
  <c r="X24" i="20"/>
  <c r="X25" i="20"/>
  <c r="F11" i="20"/>
  <c r="Y23" i="20"/>
  <c r="F18" i="20"/>
  <c r="AA22" i="20"/>
  <c r="F8" i="20"/>
  <c r="M23" i="20"/>
  <c r="M24" i="20"/>
  <c r="T23" i="20"/>
  <c r="F9" i="20"/>
  <c r="F16" i="20"/>
  <c r="F20" i="20"/>
  <c r="F17" i="20"/>
  <c r="R25" i="20"/>
  <c r="N24" i="20"/>
  <c r="T24" i="20"/>
  <c r="T25" i="20"/>
  <c r="D45" i="36"/>
  <c r="E42" i="37"/>
  <c r="C45" i="36"/>
  <c r="C46" i="36"/>
  <c r="E36" i="36"/>
  <c r="F27" i="36"/>
  <c r="D11" i="44"/>
  <c r="D15" i="44" s="1"/>
  <c r="E16" i="45"/>
  <c r="E25" i="45"/>
  <c r="F25" i="45"/>
  <c r="E20" i="45"/>
  <c r="D38" i="36"/>
  <c r="E19" i="45"/>
  <c r="E18" i="45"/>
  <c r="D46" i="36"/>
  <c r="D24" i="45"/>
  <c r="D15" i="45"/>
  <c r="D14" i="45" s="1"/>
  <c r="D11" i="45"/>
  <c r="D36" i="31"/>
  <c r="D12" i="45"/>
  <c r="D32" i="32"/>
  <c r="D13" i="45"/>
  <c r="D10" i="45"/>
  <c r="D7" i="45"/>
  <c r="C37" i="36"/>
  <c r="D16" i="45"/>
  <c r="E47" i="36"/>
  <c r="R12" i="54"/>
  <c r="R16" i="54"/>
  <c r="R15" i="54"/>
  <c r="D4" i="52"/>
  <c r="K4" i="52"/>
  <c r="K25" i="52"/>
  <c r="K26" i="52"/>
  <c r="K27" i="52"/>
  <c r="C57" i="43"/>
  <c r="G33" i="43"/>
  <c r="D34" i="43"/>
  <c r="F11" i="44"/>
  <c r="F15" i="44" s="1"/>
  <c r="E51" i="27"/>
  <c r="F13" i="44"/>
  <c r="D35" i="43"/>
  <c r="F51" i="27"/>
  <c r="C7" i="45"/>
  <c r="F19" i="28"/>
  <c r="F20" i="28"/>
  <c r="C8" i="45"/>
  <c r="F8" i="45"/>
  <c r="C11" i="45"/>
  <c r="F11" i="45"/>
  <c r="C36" i="31"/>
  <c r="C12" i="45"/>
  <c r="F12" i="45"/>
  <c r="C13" i="45"/>
  <c r="F13" i="45"/>
  <c r="F10" i="45"/>
  <c r="D33" i="32"/>
  <c r="C45" i="27"/>
  <c r="C46" i="27"/>
  <c r="K12" i="54"/>
  <c r="F48" i="50"/>
  <c r="E77" i="50"/>
  <c r="E49" i="50"/>
  <c r="L16" i="54"/>
  <c r="F47" i="50"/>
  <c r="D49" i="50"/>
  <c r="F55" i="31"/>
  <c r="E62" i="31"/>
  <c r="F26" i="28"/>
  <c r="C44" i="28"/>
  <c r="C45" i="28"/>
  <c r="G29" i="28"/>
  <c r="F27" i="28"/>
  <c r="D13" i="44"/>
  <c r="C76" i="50"/>
  <c r="F77" i="50"/>
  <c r="C74" i="50"/>
  <c r="J12" i="54"/>
  <c r="G12" i="52"/>
  <c r="C33" i="32"/>
  <c r="F33" i="32"/>
  <c r="F32" i="32"/>
  <c r="E58" i="32"/>
  <c r="D34" i="32"/>
  <c r="F31" i="32"/>
  <c r="E14" i="44"/>
  <c r="C64" i="30"/>
  <c r="C54" i="30"/>
  <c r="C63" i="30"/>
  <c r="F40" i="30"/>
  <c r="D50" i="50"/>
  <c r="D51" i="50"/>
  <c r="K16" i="54"/>
  <c r="K11" i="54"/>
  <c r="H11" i="52"/>
  <c r="D37" i="31"/>
  <c r="D38" i="31"/>
  <c r="C55" i="31"/>
  <c r="D56" i="28"/>
  <c r="C30" i="28"/>
  <c r="E50" i="50"/>
  <c r="E51" i="50"/>
  <c r="C34" i="32"/>
  <c r="F34" i="32"/>
  <c r="F29" i="28"/>
  <c r="E13" i="44"/>
  <c r="D45" i="29"/>
  <c r="F20" i="45"/>
  <c r="F38" i="38"/>
  <c r="D42" i="30"/>
  <c r="K10" i="54"/>
  <c r="H10" i="52"/>
  <c r="C42" i="30"/>
  <c r="C43" i="30"/>
  <c r="J10" i="54"/>
  <c r="F61" i="30"/>
  <c r="C61" i="30"/>
  <c r="D57" i="30"/>
  <c r="F38" i="30"/>
  <c r="D68" i="30"/>
  <c r="C22" i="45"/>
  <c r="F17" i="39"/>
  <c r="F18" i="39"/>
  <c r="F28" i="36"/>
  <c r="F29" i="36"/>
  <c r="F21" i="28"/>
  <c r="F22" i="28"/>
  <c r="E53" i="33"/>
  <c r="F76" i="33"/>
  <c r="E72" i="33"/>
  <c r="C35" i="38"/>
  <c r="C38" i="38"/>
  <c r="G10" i="52"/>
  <c r="F22" i="45"/>
  <c r="E54" i="33"/>
  <c r="E55" i="33"/>
  <c r="L14" i="54"/>
  <c r="D43" i="30"/>
  <c r="E40" i="37"/>
  <c r="Y24" i="20"/>
  <c r="Y25" i="20"/>
  <c r="F21" i="20"/>
  <c r="E22" i="20"/>
  <c r="E23" i="20"/>
  <c r="S24" i="20"/>
  <c r="S25" i="20"/>
  <c r="E22" i="24"/>
  <c r="E23" i="24"/>
  <c r="L24" i="20"/>
  <c r="L25" i="20"/>
  <c r="F35" i="24"/>
  <c r="F34" i="24"/>
  <c r="F59" i="31"/>
  <c r="F34" i="31"/>
  <c r="F41" i="50"/>
  <c r="F42" i="50"/>
  <c r="I8" i="20"/>
  <c r="I12" i="20"/>
  <c r="I23" i="20"/>
  <c r="F30" i="28"/>
  <c r="C31" i="28"/>
  <c r="F31" i="28"/>
  <c r="F22" i="24"/>
  <c r="F23" i="24"/>
  <c r="D22" i="24"/>
  <c r="D23" i="24"/>
  <c r="M25" i="20"/>
  <c r="C12" i="20"/>
  <c r="C23" i="20"/>
  <c r="F5" i="20"/>
  <c r="F6" i="20"/>
  <c r="F12" i="20"/>
  <c r="AA12" i="20"/>
  <c r="AA23" i="20"/>
  <c r="F23" i="32"/>
  <c r="C43" i="43"/>
  <c r="C44" i="32"/>
  <c r="C47" i="32"/>
  <c r="G32" i="32"/>
  <c r="C66" i="50"/>
  <c r="C51" i="39"/>
  <c r="F65" i="30"/>
  <c r="F39" i="30"/>
  <c r="C57" i="30"/>
  <c r="F26" i="43"/>
  <c r="C22" i="24"/>
  <c r="C23" i="24"/>
  <c r="E6" i="24"/>
  <c r="F26" i="27"/>
  <c r="F35" i="27"/>
  <c r="F36" i="27" s="1"/>
  <c r="F71" i="36"/>
  <c r="C64" i="36"/>
  <c r="C71" i="36"/>
  <c r="G36" i="36"/>
  <c r="O12" i="20"/>
  <c r="G6" i="20"/>
  <c r="F4" i="25"/>
  <c r="F24" i="25"/>
  <c r="F26" i="31"/>
  <c r="F27" i="31"/>
  <c r="C37" i="39"/>
  <c r="C40" i="39"/>
  <c r="G25" i="39"/>
  <c r="D40" i="39"/>
  <c r="C54" i="27"/>
  <c r="C55" i="27"/>
  <c r="E71" i="27"/>
  <c r="E37" i="36"/>
  <c r="L18" i="54"/>
  <c r="G12" i="20"/>
  <c r="N25" i="20"/>
  <c r="F22" i="20"/>
  <c r="F23" i="20"/>
  <c r="G17" i="20"/>
  <c r="G22" i="20"/>
  <c r="O22" i="20"/>
  <c r="O23" i="20"/>
  <c r="C44" i="37"/>
  <c r="C45" i="37"/>
  <c r="I22" i="52"/>
  <c r="F78" i="33"/>
  <c r="F79" i="33"/>
  <c r="D47" i="32"/>
  <c r="F42" i="27"/>
  <c r="C67" i="30"/>
  <c r="F46" i="50"/>
  <c r="F49" i="50"/>
  <c r="C49" i="50"/>
  <c r="F31" i="37"/>
  <c r="C33" i="37"/>
  <c r="C68" i="33"/>
  <c r="D60" i="36"/>
  <c r="D52" i="27"/>
  <c r="C47" i="36"/>
  <c r="H8" i="20"/>
  <c r="E8" i="24"/>
  <c r="L4" i="52"/>
  <c r="L25" i="52"/>
  <c r="L26" i="52"/>
  <c r="L27" i="52"/>
  <c r="H22" i="52"/>
  <c r="C49" i="38"/>
  <c r="G24" i="38"/>
  <c r="D67" i="37"/>
  <c r="E75" i="27"/>
  <c r="E33" i="43"/>
  <c r="F29" i="43"/>
  <c r="F68" i="43"/>
  <c r="D47" i="36"/>
  <c r="H15" i="20"/>
  <c r="H22" i="20"/>
  <c r="U22" i="20"/>
  <c r="U23" i="20"/>
  <c r="D26" i="25"/>
  <c r="F3" i="25"/>
  <c r="C5" i="25"/>
  <c r="C4" i="25"/>
  <c r="C3" i="25"/>
  <c r="F36" i="36"/>
  <c r="C38" i="36"/>
  <c r="C19" i="45"/>
  <c r="J18" i="54"/>
  <c r="F16" i="38"/>
  <c r="F17" i="38"/>
  <c r="D51" i="31"/>
  <c r="C77" i="27"/>
  <c r="D22" i="20"/>
  <c r="D23" i="20"/>
  <c r="F21" i="38"/>
  <c r="F33" i="31"/>
  <c r="E24" i="38"/>
  <c r="C25" i="39"/>
  <c r="C24" i="20"/>
  <c r="C25" i="20"/>
  <c r="C44" i="43"/>
  <c r="C45" i="43"/>
  <c r="C59" i="31"/>
  <c r="C62" i="31"/>
  <c r="G36" i="31"/>
  <c r="F62" i="31"/>
  <c r="H23" i="52"/>
  <c r="E34" i="43"/>
  <c r="L24" i="54"/>
  <c r="F33" i="43"/>
  <c r="C70" i="50"/>
  <c r="C77" i="50"/>
  <c r="D77" i="50"/>
  <c r="E37" i="31"/>
  <c r="E38" i="31"/>
  <c r="L11" i="54"/>
  <c r="J21" i="54"/>
  <c r="M21" i="54"/>
  <c r="C26" i="39"/>
  <c r="C27" i="39"/>
  <c r="H12" i="20"/>
  <c r="E25" i="38"/>
  <c r="F24" i="38"/>
  <c r="L19" i="54"/>
  <c r="I19" i="52"/>
  <c r="C75" i="27"/>
  <c r="F50" i="50"/>
  <c r="F51" i="50"/>
  <c r="E38" i="36"/>
  <c r="F37" i="36"/>
  <c r="F41" i="30"/>
  <c r="L10" i="54"/>
  <c r="I10" i="52"/>
  <c r="E42" i="30"/>
  <c r="E43" i="30"/>
  <c r="F43" i="30"/>
  <c r="F42" i="30"/>
  <c r="I24" i="20"/>
  <c r="I25" i="20"/>
  <c r="J16" i="54"/>
  <c r="G16" i="52"/>
  <c r="C50" i="50"/>
  <c r="C51" i="50"/>
  <c r="F36" i="31"/>
  <c r="G18" i="52"/>
  <c r="U24" i="20"/>
  <c r="U25" i="20"/>
  <c r="J20" i="54"/>
  <c r="C34" i="37"/>
  <c r="C35" i="37"/>
  <c r="F34" i="37"/>
  <c r="C21" i="45"/>
  <c r="C72" i="33"/>
  <c r="C65" i="30"/>
  <c r="C68" i="30"/>
  <c r="G41" i="30"/>
  <c r="F68" i="30"/>
  <c r="F24" i="32"/>
  <c r="F25" i="32"/>
  <c r="C23" i="45"/>
  <c r="C18" i="45" s="1"/>
  <c r="F23" i="45"/>
  <c r="G22" i="52"/>
  <c r="F19" i="45"/>
  <c r="H23" i="20"/>
  <c r="D50" i="27"/>
  <c r="F41" i="27"/>
  <c r="E11" i="44"/>
  <c r="E15" i="44" s="1"/>
  <c r="E16" i="44" s="1"/>
  <c r="E18" i="44" s="1"/>
  <c r="O24" i="20"/>
  <c r="O25" i="20"/>
  <c r="AA24" i="20"/>
  <c r="AA25" i="20"/>
  <c r="F25" i="25"/>
  <c r="F26" i="25"/>
  <c r="F38" i="36"/>
  <c r="G23" i="20"/>
  <c r="J11" i="54"/>
  <c r="S11" i="54"/>
  <c r="C37" i="31"/>
  <c r="C38" i="31"/>
  <c r="G32" i="50"/>
  <c r="E24" i="20"/>
  <c r="E25" i="20"/>
  <c r="D24" i="20"/>
  <c r="D25" i="20"/>
  <c r="F24" i="20"/>
  <c r="F25" i="20"/>
  <c r="E78" i="27"/>
  <c r="F28" i="31"/>
  <c r="F29" i="31"/>
  <c r="C24" i="25"/>
  <c r="C25" i="25"/>
  <c r="C26" i="25"/>
  <c r="H24" i="20"/>
  <c r="H25" i="20"/>
  <c r="E35" i="43"/>
  <c r="F35" i="43"/>
  <c r="F34" i="43"/>
  <c r="E26" i="38"/>
  <c r="F26" i="38"/>
  <c r="F25" i="38"/>
  <c r="D53" i="27"/>
  <c r="F50" i="27"/>
  <c r="G11" i="52"/>
  <c r="C10" i="45"/>
  <c r="F37" i="31"/>
  <c r="F38" i="31"/>
  <c r="M11" i="54"/>
  <c r="G24" i="20"/>
  <c r="G25" i="20"/>
  <c r="D45" i="27"/>
  <c r="D46" i="27"/>
  <c r="G21" i="52"/>
  <c r="C11" i="44"/>
  <c r="C15" i="44" s="1"/>
  <c r="D54" i="27"/>
  <c r="D55" i="27"/>
  <c r="C33" i="28"/>
  <c r="F34" i="30"/>
  <c r="F35" i="30"/>
  <c r="E67" i="34"/>
  <c r="E26" i="52"/>
  <c r="E27" i="52"/>
  <c r="C26" i="52"/>
  <c r="C27" i="52"/>
  <c r="D26" i="52"/>
  <c r="D27" i="52"/>
  <c r="M25" i="52"/>
  <c r="M26" i="52"/>
  <c r="M27" i="52"/>
  <c r="N4" i="52"/>
  <c r="N25" i="52"/>
  <c r="N26" i="52"/>
  <c r="N27" i="52"/>
  <c r="F25" i="52"/>
  <c r="O7" i="52"/>
  <c r="C26" i="54"/>
  <c r="C27" i="54"/>
  <c r="E13" i="54"/>
  <c r="E9" i="54"/>
  <c r="E4" i="54"/>
  <c r="N13" i="54"/>
  <c r="G20" i="52"/>
  <c r="E17" i="54"/>
  <c r="M19" i="54"/>
  <c r="E25" i="54"/>
  <c r="J19" i="52"/>
  <c r="O19" i="52"/>
  <c r="J10" i="52"/>
  <c r="O10" i="52"/>
  <c r="J21" i="52"/>
  <c r="O21" i="52"/>
  <c r="J9" i="54"/>
  <c r="H16" i="52"/>
  <c r="B27" i="54"/>
  <c r="L17" i="54"/>
  <c r="L9" i="54"/>
  <c r="R11" i="54"/>
  <c r="I16" i="52"/>
  <c r="I11" i="52"/>
  <c r="H12" i="52"/>
  <c r="J12" i="52"/>
  <c r="O12" i="52"/>
  <c r="I18" i="52"/>
  <c r="J18" i="52"/>
  <c r="M12" i="54"/>
  <c r="M10" i="54"/>
  <c r="M18" i="54"/>
  <c r="H24" i="52"/>
  <c r="K9" i="54"/>
  <c r="R7" i="54"/>
  <c r="G9" i="52"/>
  <c r="M16" i="54"/>
  <c r="I24" i="52"/>
  <c r="M24" i="54"/>
  <c r="T16" i="54"/>
  <c r="S12" i="54"/>
  <c r="C36" i="32"/>
  <c r="C46" i="43"/>
  <c r="F26" i="52"/>
  <c r="F27" i="52"/>
  <c r="J16" i="52"/>
  <c r="O16" i="52"/>
  <c r="E26" i="54"/>
  <c r="E27" i="54"/>
  <c r="J24" i="52"/>
  <c r="O24" i="52"/>
  <c r="O18" i="52"/>
  <c r="M9" i="54"/>
  <c r="R10" i="54"/>
  <c r="J11" i="52"/>
  <c r="I9" i="52"/>
  <c r="H9" i="52"/>
  <c r="R18" i="54"/>
  <c r="O11" i="52"/>
  <c r="J9" i="52"/>
  <c r="O9" i="52"/>
  <c r="E27" i="38" l="1"/>
  <c r="F33" i="37"/>
  <c r="D43" i="37"/>
  <c r="D21" i="45"/>
  <c r="F21" i="45" s="1"/>
  <c r="H20" i="52"/>
  <c r="J20" i="52" s="1"/>
  <c r="O20" i="52" s="1"/>
  <c r="C64" i="37"/>
  <c r="C67" i="37" s="1"/>
  <c r="G33" i="37" s="1"/>
  <c r="F26" i="37"/>
  <c r="F27" i="37" s="1"/>
  <c r="E43" i="37"/>
  <c r="E67" i="37"/>
  <c r="V20" i="54"/>
  <c r="T19" i="54"/>
  <c r="U7" i="54"/>
  <c r="U20" i="54"/>
  <c r="U14" i="54"/>
  <c r="D36" i="32"/>
  <c r="P13" i="54"/>
  <c r="P4" i="54" s="1"/>
  <c r="C56" i="27"/>
  <c r="V18" i="54"/>
  <c r="I16" i="54"/>
  <c r="F54" i="50" s="1"/>
  <c r="I7" i="54"/>
  <c r="F33" i="28" s="1"/>
  <c r="O13" i="54"/>
  <c r="O4" i="54" s="1"/>
  <c r="F46" i="43"/>
  <c r="T18" i="54"/>
  <c r="Q13" i="54"/>
  <c r="U21" i="54"/>
  <c r="I11" i="54"/>
  <c r="O17" i="54"/>
  <c r="Q17" i="54"/>
  <c r="I12" i="54"/>
  <c r="F36" i="32" s="1"/>
  <c r="V19" i="54"/>
  <c r="S19" i="54"/>
  <c r="U24" i="54"/>
  <c r="P17" i="54"/>
  <c r="T24" i="54"/>
  <c r="S20" i="54"/>
  <c r="I15" i="54"/>
  <c r="F46" i="34" s="1"/>
  <c r="D45" i="30"/>
  <c r="U12" i="54"/>
  <c r="I10" i="54"/>
  <c r="T20" i="54"/>
  <c r="Q9" i="54"/>
  <c r="R9" i="54" s="1"/>
  <c r="N17" i="54"/>
  <c r="J22" i="52"/>
  <c r="O22" i="52" s="1"/>
  <c r="D18" i="45"/>
  <c r="D26" i="45" s="1"/>
  <c r="D27" i="45" s="1"/>
  <c r="I17" i="52"/>
  <c r="V22" i="54"/>
  <c r="R22" i="54"/>
  <c r="K17" i="54"/>
  <c r="U23" i="54"/>
  <c r="F24" i="45"/>
  <c r="F18" i="45" s="1"/>
  <c r="S23" i="54"/>
  <c r="J17" i="54"/>
  <c r="J23" i="52"/>
  <c r="G17" i="52"/>
  <c r="M23" i="54"/>
  <c r="V23" i="54" s="1"/>
  <c r="V7" i="54"/>
  <c r="F40" i="31"/>
  <c r="V11" i="54"/>
  <c r="I6" i="54"/>
  <c r="F9" i="54"/>
  <c r="G5" i="54"/>
  <c r="G9" i="54"/>
  <c r="T9" i="54" s="1"/>
  <c r="V21" i="54"/>
  <c r="S16" i="54"/>
  <c r="E49" i="36"/>
  <c r="I17" i="54"/>
  <c r="H17" i="54"/>
  <c r="F17" i="54"/>
  <c r="G13" i="54"/>
  <c r="F5" i="54"/>
  <c r="I14" i="54"/>
  <c r="F57" i="33" s="1"/>
  <c r="S21" i="54"/>
  <c r="C40" i="31"/>
  <c r="D40" i="31"/>
  <c r="S22" i="54"/>
  <c r="F8" i="44"/>
  <c r="F16" i="44" s="1"/>
  <c r="F17" i="44" s="1"/>
  <c r="H5" i="54"/>
  <c r="G17" i="54"/>
  <c r="D56" i="27"/>
  <c r="U22" i="54"/>
  <c r="S10" i="54"/>
  <c r="I8" i="54"/>
  <c r="F48" i="29" s="1"/>
  <c r="U10" i="54"/>
  <c r="T7" i="54"/>
  <c r="H9" i="54"/>
  <c r="U9" i="54" s="1"/>
  <c r="T21" i="54"/>
  <c r="U16" i="54"/>
  <c r="H13" i="54"/>
  <c r="U11" i="54"/>
  <c r="F13" i="54"/>
  <c r="C67" i="29"/>
  <c r="F70" i="29"/>
  <c r="E45" i="29"/>
  <c r="E46" i="29" s="1"/>
  <c r="L8" i="54"/>
  <c r="I8" i="52" s="1"/>
  <c r="E9" i="45"/>
  <c r="E6" i="45" s="1"/>
  <c r="F44" i="29"/>
  <c r="H8" i="52"/>
  <c r="H5" i="52" s="1"/>
  <c r="T8" i="54"/>
  <c r="F37" i="29"/>
  <c r="F38" i="29" s="1"/>
  <c r="D9" i="45"/>
  <c r="D6" i="45" s="1"/>
  <c r="D5" i="45" s="1"/>
  <c r="C44" i="29"/>
  <c r="E70" i="29"/>
  <c r="C5" i="53"/>
  <c r="D46" i="29"/>
  <c r="C69" i="29"/>
  <c r="C70" i="29" s="1"/>
  <c r="G44" i="29" s="1"/>
  <c r="D8" i="44"/>
  <c r="D16" i="44" s="1"/>
  <c r="D18" i="44" s="1"/>
  <c r="K5" i="54"/>
  <c r="U8" i="54"/>
  <c r="C8" i="44"/>
  <c r="C16" i="44" s="1"/>
  <c r="C17" i="44" s="1"/>
  <c r="F52" i="27"/>
  <c r="F14" i="44"/>
  <c r="E53" i="27"/>
  <c r="F43" i="27"/>
  <c r="F44" i="27" s="1"/>
  <c r="F37" i="27"/>
  <c r="F38" i="27" s="1"/>
  <c r="I6" i="52"/>
  <c r="M6" i="54"/>
  <c r="U6" i="54"/>
  <c r="F7" i="45"/>
  <c r="C71" i="27"/>
  <c r="C78" i="27" s="1"/>
  <c r="G44" i="27" s="1"/>
  <c r="E45" i="27"/>
  <c r="E46" i="27" s="1"/>
  <c r="Q5" i="54"/>
  <c r="N4" i="54"/>
  <c r="N25" i="54" s="1"/>
  <c r="C78" i="33"/>
  <c r="C53" i="33"/>
  <c r="J14" i="54" s="1"/>
  <c r="S14" i="54" s="1"/>
  <c r="F43" i="33"/>
  <c r="F44" i="33" s="1"/>
  <c r="F45" i="33" s="1"/>
  <c r="I14" i="52"/>
  <c r="F15" i="45"/>
  <c r="F14" i="45" s="1"/>
  <c r="F53" i="33"/>
  <c r="F54" i="33" s="1"/>
  <c r="F55" i="33" s="1"/>
  <c r="D53" i="33"/>
  <c r="K14" i="54" s="1"/>
  <c r="E76" i="33"/>
  <c r="C76" i="33" s="1"/>
  <c r="E17" i="44"/>
  <c r="C57" i="34"/>
  <c r="E68" i="34"/>
  <c r="D42" i="34"/>
  <c r="C10" i="53"/>
  <c r="C20" i="53"/>
  <c r="D65" i="34"/>
  <c r="F40" i="34"/>
  <c r="F39" i="34"/>
  <c r="C42" i="34"/>
  <c r="D61" i="34"/>
  <c r="C67" i="34"/>
  <c r="F68" i="34"/>
  <c r="F41" i="34"/>
  <c r="C8" i="53"/>
  <c r="E42" i="34"/>
  <c r="F31" i="34"/>
  <c r="F32" i="34" s="1"/>
  <c r="F33" i="34" s="1"/>
  <c r="F34" i="34" s="1"/>
  <c r="C18" i="53"/>
  <c r="C11" i="53"/>
  <c r="F12" i="53"/>
  <c r="C7" i="53"/>
  <c r="C9" i="53"/>
  <c r="E12" i="53"/>
  <c r="C17" i="53"/>
  <c r="C6" i="53"/>
  <c r="C16" i="53"/>
  <c r="D12" i="53"/>
  <c r="H17" i="52" l="1"/>
  <c r="D45" i="37"/>
  <c r="D44" i="37"/>
  <c r="E44" i="37"/>
  <c r="E45" i="37" s="1"/>
  <c r="F56" i="27"/>
  <c r="V16" i="54"/>
  <c r="O25" i="54"/>
  <c r="O26" i="54" s="1"/>
  <c r="O27" i="54" s="1"/>
  <c r="P25" i="54"/>
  <c r="P26" i="54" s="1"/>
  <c r="P27" i="54" s="1"/>
  <c r="V12" i="54"/>
  <c r="F45" i="30"/>
  <c r="V10" i="54"/>
  <c r="M17" i="54"/>
  <c r="V17" i="54" s="1"/>
  <c r="R23" i="54"/>
  <c r="R17" i="54" s="1"/>
  <c r="O23" i="52"/>
  <c r="J17" i="52"/>
  <c r="O17" i="52" s="1"/>
  <c r="I5" i="54"/>
  <c r="H4" i="54"/>
  <c r="H25" i="54" s="1"/>
  <c r="H26" i="54" s="1"/>
  <c r="H27" i="54" s="1"/>
  <c r="G4" i="54"/>
  <c r="G25" i="54" s="1"/>
  <c r="G26" i="54" s="1"/>
  <c r="G27" i="54" s="1"/>
  <c r="T5" i="54"/>
  <c r="I13" i="54"/>
  <c r="T17" i="54"/>
  <c r="S17" i="54"/>
  <c r="S9" i="54"/>
  <c r="I9" i="54"/>
  <c r="V9" i="54" s="1"/>
  <c r="F4" i="54"/>
  <c r="F25" i="54" s="1"/>
  <c r="U17" i="54"/>
  <c r="E5" i="45"/>
  <c r="E26" i="45"/>
  <c r="E27" i="45" s="1"/>
  <c r="F45" i="29"/>
  <c r="F46" i="29" s="1"/>
  <c r="M8" i="54"/>
  <c r="M5" i="54" s="1"/>
  <c r="F22" i="53"/>
  <c r="F23" i="53" s="1"/>
  <c r="F24" i="53" s="1"/>
  <c r="F25" i="53" s="1"/>
  <c r="L5" i="54"/>
  <c r="U5" i="54" s="1"/>
  <c r="C9" i="45"/>
  <c r="C45" i="29"/>
  <c r="C46" i="29" s="1"/>
  <c r="J8" i="54"/>
  <c r="D17" i="44"/>
  <c r="C18" i="44"/>
  <c r="F45" i="27"/>
  <c r="F46" i="27" s="1"/>
  <c r="E54" i="27"/>
  <c r="E55" i="27" s="1"/>
  <c r="C14" i="44"/>
  <c r="F53" i="27"/>
  <c r="V6" i="54"/>
  <c r="J6" i="52"/>
  <c r="I5" i="52"/>
  <c r="Q4" i="54"/>
  <c r="Q25" i="54" s="1"/>
  <c r="N26" i="54"/>
  <c r="N27" i="54" s="1"/>
  <c r="F18" i="44"/>
  <c r="E22" i="53"/>
  <c r="E23" i="53" s="1"/>
  <c r="E24" i="53" s="1"/>
  <c r="E79" i="33"/>
  <c r="D54" i="33"/>
  <c r="D55" i="33" s="1"/>
  <c r="C79" i="33"/>
  <c r="G53" i="33" s="1"/>
  <c r="G14" i="52"/>
  <c r="T14" i="54"/>
  <c r="M14" i="54"/>
  <c r="H14" i="52"/>
  <c r="J14" i="52" s="1"/>
  <c r="O14" i="52" s="1"/>
  <c r="K15" i="54"/>
  <c r="D43" i="34"/>
  <c r="D44" i="34" s="1"/>
  <c r="C32" i="53"/>
  <c r="C21" i="53"/>
  <c r="C34" i="53" s="1"/>
  <c r="D28" i="45"/>
  <c r="C31" i="53"/>
  <c r="T15" i="54"/>
  <c r="H15" i="52"/>
  <c r="K13" i="54"/>
  <c r="E43" i="34"/>
  <c r="E44" i="34" s="1"/>
  <c r="L15" i="54"/>
  <c r="C61" i="34"/>
  <c r="D68" i="34"/>
  <c r="C65" i="34"/>
  <c r="J15" i="54"/>
  <c r="C43" i="34"/>
  <c r="F42" i="34"/>
  <c r="C30" i="53"/>
  <c r="C12" i="53"/>
  <c r="V5" i="54" l="1"/>
  <c r="F26" i="54"/>
  <c r="F27" i="54" s="1"/>
  <c r="I4" i="54"/>
  <c r="I25" i="54" s="1"/>
  <c r="I26" i="54" s="1"/>
  <c r="I27" i="54" s="1"/>
  <c r="E28" i="45"/>
  <c r="G8" i="52"/>
  <c r="J5" i="54"/>
  <c r="S5" i="54" s="1"/>
  <c r="S8" i="54"/>
  <c r="V8" i="54"/>
  <c r="R8" i="54"/>
  <c r="C6" i="45"/>
  <c r="F9" i="45"/>
  <c r="F6" i="45" s="1"/>
  <c r="C19" i="53"/>
  <c r="C33" i="53" s="1"/>
  <c r="F54" i="27"/>
  <c r="F55" i="27" s="1"/>
  <c r="R5" i="54"/>
  <c r="O6" i="52"/>
  <c r="Q26" i="54"/>
  <c r="Q27" i="54" s="1"/>
  <c r="R14" i="54"/>
  <c r="R13" i="54" s="1"/>
  <c r="V14" i="54"/>
  <c r="H13" i="52"/>
  <c r="H4" i="52" s="1"/>
  <c r="H25" i="52" s="1"/>
  <c r="H26" i="52" s="1"/>
  <c r="H27" i="52" s="1"/>
  <c r="C68" i="34"/>
  <c r="G33" i="34" s="1"/>
  <c r="G15" i="52"/>
  <c r="S15" i="54"/>
  <c r="J13" i="54"/>
  <c r="K4" i="54"/>
  <c r="K25" i="54" s="1"/>
  <c r="T13" i="54"/>
  <c r="T4" i="54" s="1"/>
  <c r="M15" i="54"/>
  <c r="I15" i="52"/>
  <c r="I13" i="52" s="1"/>
  <c r="I4" i="52" s="1"/>
  <c r="I25" i="52" s="1"/>
  <c r="I26" i="52" s="1"/>
  <c r="I27" i="52" s="1"/>
  <c r="U15" i="54"/>
  <c r="L13" i="54"/>
  <c r="E25" i="53"/>
  <c r="C44" i="34"/>
  <c r="F44" i="34" s="1"/>
  <c r="F43" i="34"/>
  <c r="D22" i="53"/>
  <c r="D23" i="53" s="1"/>
  <c r="D24" i="53" s="1"/>
  <c r="D25" i="53" s="1"/>
  <c r="C15" i="53"/>
  <c r="J8" i="52" l="1"/>
  <c r="G5" i="52"/>
  <c r="F5" i="45"/>
  <c r="F26" i="45"/>
  <c r="C26" i="45"/>
  <c r="C5" i="45"/>
  <c r="R4" i="54"/>
  <c r="R25" i="54" s="1"/>
  <c r="R26" i="54" s="1"/>
  <c r="R27" i="54" s="1"/>
  <c r="T25" i="54"/>
  <c r="K26" i="54"/>
  <c r="T26" i="54" s="1"/>
  <c r="J4" i="54"/>
  <c r="J25" i="54" s="1"/>
  <c r="S13" i="54"/>
  <c r="S4" i="54" s="1"/>
  <c r="C29" i="53"/>
  <c r="C35" i="53" s="1"/>
  <c r="C36" i="53" s="1"/>
  <c r="C37" i="53" s="1"/>
  <c r="C22" i="53"/>
  <c r="C23" i="53" s="1"/>
  <c r="C24" i="53" s="1"/>
  <c r="C25" i="53" s="1"/>
  <c r="M13" i="54"/>
  <c r="V15" i="54"/>
  <c r="L4" i="54"/>
  <c r="L25" i="54" s="1"/>
  <c r="U13" i="54"/>
  <c r="U4" i="54" s="1"/>
  <c r="G13" i="52"/>
  <c r="G4" i="52" s="1"/>
  <c r="G25" i="52" s="1"/>
  <c r="G26" i="52" s="1"/>
  <c r="G27" i="52" s="1"/>
  <c r="J15" i="52"/>
  <c r="C28" i="45" l="1"/>
  <c r="C27" i="45"/>
  <c r="F27" i="45"/>
  <c r="F28" i="45"/>
  <c r="O8" i="52"/>
  <c r="J5" i="52"/>
  <c r="O5" i="52" s="1"/>
  <c r="M4" i="54"/>
  <c r="M25" i="54" s="1"/>
  <c r="V13" i="54"/>
  <c r="V4" i="54" s="1"/>
  <c r="S25" i="54"/>
  <c r="J26" i="54"/>
  <c r="S26" i="54" s="1"/>
  <c r="O15" i="52"/>
  <c r="J13" i="52"/>
  <c r="U25" i="54"/>
  <c r="L26" i="54"/>
  <c r="K27" i="54"/>
  <c r="T27" i="54" s="1"/>
  <c r="J27" i="54" l="1"/>
  <c r="S27" i="54" s="1"/>
  <c r="J4" i="52"/>
  <c r="O13" i="52"/>
  <c r="M26" i="54"/>
  <c r="V26" i="54" s="1"/>
  <c r="V25" i="54"/>
  <c r="U26" i="54"/>
  <c r="L27" i="54"/>
  <c r="U27" i="54" s="1"/>
  <c r="M27" i="54" l="1"/>
  <c r="V27" i="54" s="1"/>
  <c r="O4" i="52"/>
  <c r="J25" i="52"/>
  <c r="J26" i="52" l="1"/>
  <c r="J27" i="52" s="1"/>
  <c r="O25" i="52"/>
  <c r="O26" i="52" s="1"/>
  <c r="O27" i="52" s="1"/>
  <c r="C31" i="56" l="1"/>
  <c r="F48" i="57"/>
  <c r="F31" i="56"/>
  <c r="D31" i="56"/>
  <c r="E48" i="57"/>
  <c r="C48" i="57"/>
  <c r="D48" i="57"/>
  <c r="E31" i="56"/>
</calcChain>
</file>

<file path=xl/sharedStrings.xml><?xml version="1.0" encoding="utf-8"?>
<sst xmlns="http://schemas.openxmlformats.org/spreadsheetml/2006/main" count="1854" uniqueCount="321">
  <si>
    <t>Description</t>
  </si>
  <si>
    <t>Total</t>
  </si>
  <si>
    <t>FAO</t>
  </si>
  <si>
    <t>UNDP</t>
  </si>
  <si>
    <t>UNEP</t>
  </si>
  <si>
    <t>1. Total Country Programme TA</t>
  </si>
  <si>
    <t>Africa</t>
  </si>
  <si>
    <t>Cote d'Ivoire</t>
  </si>
  <si>
    <t>Republic of Congo</t>
  </si>
  <si>
    <t>Zambia</t>
  </si>
  <si>
    <t>Asia</t>
  </si>
  <si>
    <t>Indonesia</t>
  </si>
  <si>
    <t>Myanmar</t>
  </si>
  <si>
    <t>Viet Nam</t>
  </si>
  <si>
    <t>LAC</t>
  </si>
  <si>
    <t>Colombia</t>
  </si>
  <si>
    <t>Mexico</t>
  </si>
  <si>
    <t>Peru</t>
  </si>
  <si>
    <t>2. Global Knowledge Management</t>
  </si>
  <si>
    <t>Landscapes Approach </t>
  </si>
  <si>
    <t>Private Sector Engagement </t>
  </si>
  <si>
    <t>Tenure &amp; IP Engagement</t>
  </si>
  <si>
    <t>MRV Platform </t>
  </si>
  <si>
    <t>REDD+ &amp; SDGs &amp; Paris Agreement </t>
  </si>
  <si>
    <t>National REDD+ Funding Mechanisms</t>
  </si>
  <si>
    <t>Cross-cutting &amp; Coordination</t>
  </si>
  <si>
    <t>Programme cost</t>
  </si>
  <si>
    <t>Indirect support costs</t>
  </si>
  <si>
    <t xml:space="preserve">Total </t>
  </si>
  <si>
    <t>UN-REDD PROGRAMME 2018 - 2020 WORK PLAN AND BUDGET - CONSOLIDATED IN USD</t>
  </si>
  <si>
    <t>Outcome 2: National contributions to the mitigation of climate change though REDD+ are measured, reported and verified with the necessary institutional arrangements in place</t>
  </si>
  <si>
    <t>Budget categories</t>
  </si>
  <si>
    <t>Staff and other personnel costs</t>
  </si>
  <si>
    <t>Supplies, Commodities, Materials</t>
  </si>
  <si>
    <t>Equipment, Vehicles and furniture including Depreciation</t>
  </si>
  <si>
    <t>Contractual Services</t>
  </si>
  <si>
    <t>Travel</t>
  </si>
  <si>
    <t>General Operating and Other Direct Costs</t>
  </si>
  <si>
    <t>Sub-total</t>
  </si>
  <si>
    <t>Outcome 3: Drivers of deforestation and forest degradation are addressed through the implementation of policies and measures (results-based actions), with social and environmental safeguards addressed and respected</t>
  </si>
  <si>
    <t>Total Programme cost</t>
  </si>
  <si>
    <t>Indirect support cost 7%</t>
  </si>
  <si>
    <t>Grand Total</t>
  </si>
  <si>
    <t>CATEGORY</t>
  </si>
  <si>
    <t>ITEM DESCRIPTION</t>
  </si>
  <si>
    <t>UNIT COST</t>
  </si>
  <si>
    <t>NUMBER OF UNITS</t>
  </si>
  <si>
    <t>AMOUNT**</t>
  </si>
  <si>
    <t>- </t>
  </si>
  <si>
    <t>Programme Costs</t>
  </si>
  <si>
    <t>Indirect Support costs***</t>
  </si>
  <si>
    <t>GRAND TOTAL**</t>
  </si>
  <si>
    <t>UN-REDD PROGRAMME 2018 - 2020 WORK PLAN AND BUDGET -USD (GLOBAL consolidated)</t>
  </si>
  <si>
    <t>Transfers and Grants to Counterparts</t>
  </si>
  <si>
    <t>UN-REDD PROGRAMME 2018 WORK PLAN AND BUDGET - CONSOLIDATED AT OUTCOME LEVEL (USD)</t>
  </si>
  <si>
    <t>UN-REDD Programme 2018 Budget by country/Region and Agency (USD)</t>
  </si>
  <si>
    <t>Cote d'Ivoire Country Budget by Output, UNDG Category and UN Agency (USD)</t>
  </si>
  <si>
    <t>Outcome 2: Country contributions to the mitigation of climate change though REDD+ are measured, reported and verified and necessary institutional arrangements are in place.</t>
  </si>
  <si>
    <t>Expected Outputs</t>
  </si>
  <si>
    <t>Indicative Activities</t>
  </si>
  <si>
    <t>Responsible UN Agency</t>
  </si>
  <si>
    <t>Resource Allocation</t>
  </si>
  <si>
    <t>Amount</t>
  </si>
  <si>
    <t>Outcome 3: REDD+ contributions to the mitigation of climate change are implemented and safeguarded with policies and measures that constitute results-based actions (RBAs), including the development of appropriate and effective institutional arrangements</t>
  </si>
  <si>
    <t>3.3  Functional stakeholder mechanisms to underpin and monitor REDD+ actions and finance</t>
  </si>
  <si>
    <t>3.4 REDD+ PAMs are designed and implemented to address drivers of deforestation and forest degradation, while fully accounting for UNFCCC safeguards.</t>
  </si>
  <si>
    <t>3.5 Productive and business models for zero-deforestation agriculture</t>
  </si>
  <si>
    <t xml:space="preserve">Indirect support cost 7% </t>
  </si>
  <si>
    <t>Grand total cost</t>
  </si>
  <si>
    <t xml:space="preserve">Summary </t>
  </si>
  <si>
    <t>indirect support</t>
  </si>
  <si>
    <t>Outcome 3</t>
  </si>
  <si>
    <t>As budgeted in the 2018-2020 document</t>
  </si>
  <si>
    <t>Indonesia Country Budget by Output, UNDG Category and UN Agency (USD)</t>
  </si>
  <si>
    <t>Outcome 2:Country contributions to the mitigation of climate change though REDD+ are measured, reported and verified and necessary institutional arrangements are in place.</t>
  </si>
  <si>
    <t>Outcome total</t>
  </si>
  <si>
    <t>Myanmar Country Budget by Output, UNDG Category and UN Agency (USD)</t>
  </si>
  <si>
    <t>3.18 A set of technical, institutional, financial and legal provisions for REDD+ implementation at national and subnational levels</t>
  </si>
  <si>
    <t>3.20 Operational REDD+ safeguards information system</t>
  </si>
  <si>
    <t>Rep. Of CongoCountry Budget by Output, UNDG Category and UN Agency (USD)</t>
  </si>
  <si>
    <t>Viet Nam Country Budget by Output, UNDG Category and UN Agency (USD)</t>
  </si>
  <si>
    <t>Zambia Country Budget by Output, UNDG Category and UN Agency (USD)</t>
  </si>
  <si>
    <t>3.29 REDD+ mainstreamed into key sectors identified in the 7th National Development Plan to facilitate resource mobilisation and investments to support integrated approaches to REDD+ implementation</t>
  </si>
  <si>
    <t>3.31 REDD+ Safeguards Information System designed and operational</t>
  </si>
  <si>
    <t>Cross-cutting &amp; Communications Budget by Output, UNDG Category and UN Agency (USD)</t>
  </si>
  <si>
    <t>Contractual services</t>
  </si>
  <si>
    <t>3.33 UN-REDD knowledge &amp; lessons are widely communicated through national, regional and global knowledge/media platforms</t>
  </si>
  <si>
    <t>Financing &amp; Private Sector  Budget by Output, UNDG Category and UN Agency (USD)</t>
  </si>
  <si>
    <t>Landscape approach and planning Budget by Output, UNDG Category and UN Agency (USD)</t>
  </si>
  <si>
    <t>Outcome 2 : Country contributions to the mitigation of climate change though REDD+ are measured, reported and verified and necessary institutional arrangements are in place.</t>
  </si>
  <si>
    <t xml:space="preserve">3.38 Best practice tools and training materials on integrating social, economic and environmental benefits into REDD+ design through Integrated land-use planning.
</t>
  </si>
  <si>
    <t>NATIONAL FOREST MONITORING SYSTEMS FOR REDD+ MRV  Budget by Output, UNDG Category and UN Agency (USD)</t>
  </si>
  <si>
    <t>3.40. Practical knowledge products released to assist countries to align national REDD+ actions with international policy commitments: i.e. NDCs, key provisions of the Paris Agreement (Art. 6 / ITMOs, ETF), the SDGs agenda</t>
  </si>
  <si>
    <t>REDD+ Funding mechanisms Budget by Output, UNDG Category and UN Agency (USD)</t>
  </si>
  <si>
    <t>Forest Tenure &amp;  Righst of IPs Budget by UNDG Category and UN Agency</t>
  </si>
  <si>
    <t>3.25 Design and implementation of safeguard information system is strengthened</t>
  </si>
  <si>
    <t>3.24 Private sector engagement options, for REDD+ PAMs implementation, within the NDCs framework</t>
  </si>
  <si>
    <t>3.23 Technical capacities for the development of geographically explicit deforestation models.</t>
  </si>
  <si>
    <t>3.21 Policy and technical arrangements to harmonise the different REDD+ streams in the country (e.g., CF, JDI, GCF</t>
  </si>
  <si>
    <t>Peru Country Budget by Output, UNDG Category and UN Agency (USD)</t>
  </si>
  <si>
    <t>TOTAL 2019</t>
  </si>
  <si>
    <t>Colombia Country Budget by UNDG Category and UN Agency</t>
  </si>
  <si>
    <t>Mexico Country Budget by UNDG Category and UN Agency</t>
  </si>
  <si>
    <t>Production of forest cover change assessment for 2016-2018 period, for deforestation</t>
  </si>
  <si>
    <t>Integration of degradation methodology</t>
  </si>
  <si>
    <t>Finalization of methodology, assessment and mapping of carbon stocks enhancement for FRL historic period</t>
  </si>
  <si>
    <t>Workplan for the preparation of the new FRL (to be submitted in 2020)</t>
  </si>
  <si>
    <t>Strenghtening of national institutions coordination and technical capacities to report on GHG emissions from REDD+ activities in all land uses</t>
  </si>
  <si>
    <t>Formalization of institutional arrangements for GHG reporting of REDD+ activities</t>
  </si>
  <si>
    <t>Technical inputs to develop appropriate REDD+ PAMs is provided by agro-forestry and agriculture experts</t>
  </si>
  <si>
    <t>The GCF proposal to support REDD+ PAMs in Congo is finalized and submitted to GCF</t>
  </si>
  <si>
    <t>TOTAL</t>
  </si>
  <si>
    <t>2019 as approved at EB-1</t>
  </si>
  <si>
    <t>Adjustments by agency</t>
  </si>
  <si>
    <t xml:space="preserve">3.13 Technical and institutional options and elements to underpin financing for REDD+ 
</t>
  </si>
  <si>
    <t xml:space="preserve">3.14 Financing options to achieve NDC targets and ENAREDD goals (including private and public sources, and ensuring policy alignment)
</t>
  </si>
  <si>
    <t>Improve fire management in vulnerable provinces through a consultative process on a cluster approach for integrated fire management between relevant ministries, sub-national government bodies and stakeholders.</t>
  </si>
  <si>
    <t>To provide technical support for the development of peat land use management guidelines that are based on Gov. regulation 57</t>
  </si>
  <si>
    <t>u</t>
  </si>
  <si>
    <t>Support the development of technical guidelines for peat restoration and share these with other peatland countries</t>
  </si>
  <si>
    <t>Improve fire mapping capabilities with higher-resolution and faster feedback to policy-makers and field managers through customising existing fire and burnt area algorithms.</t>
  </si>
  <si>
    <t>A multi-agency workshop led by the GoI to coordinate national agencies' roles and inputs to NFMS.</t>
  </si>
  <si>
    <t>To produce case studies on successful integrated land use planning and make them available to countries.</t>
  </si>
  <si>
    <t>To develop and provide technical training materials</t>
  </si>
  <si>
    <t>To provide UN-REDD partner countries
with business case analysis suporting greater inclusion of private sector action in the design of REDD+ PAMs.</t>
  </si>
  <si>
    <t>Dialogues with finance institutions and other companies to make zero (net) deforestation pledges or similar commitments</t>
  </si>
  <si>
    <t>Produce best practice cases on public private partnerships to promote increased investments in deforestation free productive activities.</t>
  </si>
  <si>
    <t>Consultations with finance institutions to discuss options for lending or investment to decouple deforestation from productive activities</t>
  </si>
  <si>
    <t>Develop E&amp;S frameworks for private finance facilities that contribute to REDD+</t>
  </si>
  <si>
    <t>To develop multimedia stories telling through the prodcution and dissemination of high quality stories in the form of copy, videos and images</t>
  </si>
  <si>
    <t xml:space="preserve">To improve the workspace usability </t>
  </si>
  <si>
    <t>To conduct South-South knowledge exchanges</t>
  </si>
  <si>
    <t>To share knowledge and lessons through social media channels</t>
  </si>
  <si>
    <t>To organize media trips, training to improve media relations</t>
  </si>
  <si>
    <t>To produce infographics and videos capturing REDD+ achievements and forest facts</t>
  </si>
  <si>
    <t>The produce a bimonthly UNREDD newsletter that includes best practices, lessons and stories on country contributions to climate change mitigation with a wide coverage of UN-REDD partner countries</t>
  </si>
  <si>
    <t>To produce regular UNREDD blog post</t>
  </si>
  <si>
    <t>To support REDD+ focal points through regional KM specialists and identification, compilation and preparation of stories on REDD+ actions</t>
  </si>
  <si>
    <t>3.37 Global awareness on transformational change at the agriculture/forestry intersection to contribute to REDD+ implementation is increased.</t>
  </si>
  <si>
    <t xml:space="preserve">Amount </t>
  </si>
  <si>
    <t>Design and implementation of Open Foris Online</t>
  </si>
  <si>
    <t>Piloting of new OF tools in three selected countries</t>
  </si>
  <si>
    <t>Sharing of information about OF Online tools for FAO country projects, co-operating partners, potential stakeholders and system users, and the audience</t>
  </si>
  <si>
    <t>Production of technical documents: Technical Manual, User's Guide (EN-FR-SP), video tutorials (3) for Youtube and a set of survey templates (5) for national forest inventories. 
Forestry journal articles (3).</t>
  </si>
  <si>
    <t>Providing on-line support and collecting of feedback for maintaining and further development of OF tools</t>
  </si>
  <si>
    <t>Technical missions and guidance to  update the FRLs</t>
  </si>
  <si>
    <t>Technical support to develop the methodology for MRV design (activity data and emission factors)</t>
  </si>
  <si>
    <t>Develop the visualization of the results of REDD+ implemenation on the REDD+ Information Portal</t>
  </si>
  <si>
    <t>Support exchanges between countries in the Lower Mekong Sub-region (LMS) on REDD+ implementation</t>
  </si>
  <si>
    <t xml:space="preserve">2.2 Improved National Forest Monitoring Systems and submitted Reference Levels conforming to UNFCCC requirements.
</t>
  </si>
  <si>
    <t xml:space="preserve">2.4 Improved National Forest Monitoring Systems and submitted Reference Levels conforming to UNFCCC requirements </t>
  </si>
  <si>
    <t>2.7 Integration of existing NFMS/MRV tools into Open
Foris Online which is tested, communicated and disseminated.</t>
  </si>
  <si>
    <t>2.8 Transfer capacity and enable country use of Open
Foris Online; Support operational NFMS/MRV systems in 15 REDD+ countries</t>
  </si>
  <si>
    <t>2.9 Strengthening of selected tools that allows collection and mapping of data and information for tenure systems
and their integration in REDD+</t>
  </si>
  <si>
    <t>2.10  Strengthening of selected methodological approaches/tools on monitoring and assessment and role of NFMS in landscape scenarios contributing to climate change mitigation identified</t>
  </si>
  <si>
    <t>3.8 Forest governance measures for REDD+ results defined and mainstreamed</t>
  </si>
  <si>
    <t>3.9 REDD+ policies &amp; measures have safeguard measures associated and are reported to the UNFCCC</t>
  </si>
  <si>
    <t>3.10 Analysis of cost-effectiveness of priority REDD+ PAMs.</t>
  </si>
  <si>
    <t>3.11 Technical design of effective and feasible peatland and forest-fire management policies</t>
  </si>
  <si>
    <t xml:space="preserve">3.15 National safeguards system is operational and updated summary of safeguards information is submitted to the UNFCCC 
</t>
  </si>
  <si>
    <t>3.19 Capacity to monitor REDD+ actions to facilitate
adaptive management of the REDD+ Strategy</t>
  </si>
  <si>
    <t>3.26 REDD+ policies &amp; measures are designed and adopted, with finance mobilised for their implementation</t>
  </si>
  <si>
    <t>3.30 Capacity to link/report REDD+ activities (PAMs) to the national MRV and GHGi systems</t>
  </si>
  <si>
    <t xml:space="preserve">Support for the strenghtening of the harmonized methodology for forest monitoring (taking into consideration all levels)  </t>
  </si>
  <si>
    <t>Support for the estimations of emission factors from fire and its inclusion in the FREL</t>
  </si>
  <si>
    <t>Support the identification and the development of application texts required for the implementation of the Forest Code.</t>
  </si>
  <si>
    <t xml:space="preserve">Technical support to facilitate stepwise improvements to FREL. Capacity Development workshops planned to coincide with activities being undertaken in the Eastern Province as part of BioCF supported Zambian Integrated Forest Landscapes Program. </t>
  </si>
  <si>
    <t>Support government consultants to prepare funding proposals for the REDD+ Investment Plan with special reference to Community Based Forest Management Activities (CBFM)</t>
  </si>
  <si>
    <t>Technical support to identify and prepare monitoring activities designed to highlight the impacts of emissions reductions activities (PAMS) and to link these to both MRV and GHGi. Capacity development workshops planned</t>
  </si>
  <si>
    <t>Technical support to prepare Zambia for the preparation of a technical annex as part of their BUR submission in 2020</t>
  </si>
  <si>
    <t>Support GoI to improve land cover mapping, time-series activity data and additional REDD+ activities e.g. forest restoration or afforestation.</t>
  </si>
  <si>
    <t xml:space="preserve">Support GoI work on improved Emission Factors to reduce uncertainties (e.g. peat and fire) and fill gaps (e.g. mangroves) in a workshop. </t>
  </si>
  <si>
    <t>Existing NFMS insitutionalized to measure GHG emissions and removals in forest remaining as forest</t>
  </si>
  <si>
    <t>National-level growth models, emission factos and forest classification updated to facilitate measurement of forest degradation and restoration</t>
  </si>
  <si>
    <t>Draft version of FRL and development of methodology for measuring changes in forest remaining as forest</t>
  </si>
  <si>
    <t>Monitoring of degradation-related PAMs piloted</t>
  </si>
  <si>
    <t>Development of guidance for monitoring protocols for REDD+ actions in forest remaining as forest</t>
  </si>
  <si>
    <t>Identify alternatives for the interoperability between the traceability system and the Salvoconducto Único Nacional-SUN (within VITAL)</t>
  </si>
  <si>
    <t>Promote consistency and compatibility of regional efforts to collect forest information with the NFI, including through the development of a procedural guide.</t>
  </si>
  <si>
    <t>Prepare recommendations and considerations for the revision of the NDC, taking into account existing support (NDC Support Facility, NCD Partnership and CBIT)</t>
  </si>
  <si>
    <t>Follow-up activities to address the results of the FREL assessment received from the UNFCCC</t>
  </si>
  <si>
    <t>Provide quality assurance of the report of REDD results for the Amazon biome to be submitted to the UNFCCC</t>
  </si>
  <si>
    <t>Provide technical assistance to develop protocols to facilitate the implementation of the SNIFFS and its modules.</t>
  </si>
  <si>
    <t>Provide technical support and recommendations to improve the GHG-I for the LULUCF sector, REDD+ Technical Annex, FREL and NDC accounting.</t>
  </si>
  <si>
    <t>Support the identifications of options to address the risk of emissions displacement and reversals</t>
  </si>
  <si>
    <t xml:space="preserve">Tools tailored to the REDD+ context that facilitate stronger synergies among and help resolve conflicts between, inter alia, agriculture and forest land uses </t>
  </si>
  <si>
    <t>As budgeted in the 2018-2020 workplan and budget</t>
  </si>
  <si>
    <t xml:space="preserve">SIS design and operation refined </t>
  </si>
  <si>
    <t xml:space="preserve">Case studies to examine evidence of successful solutions to facilitate triggers and drivers of transformational change and address barriers. </t>
  </si>
  <si>
    <t>Engaging stakeholders, presenting the findings related to trigger, drivers and barriers to transitions towards the integrated and holistic solutions in landscapes.</t>
  </si>
  <si>
    <t>Support the inclusion and engagement of indigenous peoples in new and complex policy endeavours related to climate and forests, using a gender and multicultural approach (including the UNFCCC indigenous peoples platform</t>
  </si>
  <si>
    <t>Public outreach based on demonstrated country practice and field experiences that promote indigenous rights in the context of REDD+, with emphasis on those which incorporate a gender and multicultural approach (e.g.: lessons learned papers, policy briefs).</t>
  </si>
  <si>
    <t xml:space="preserve">Supporting new legislation for the rights of indigenous peoples in relation to forest governance, including FPIC (focus: Argentina, DR Congo, Honduras, Kenya, Vietnam).
</t>
  </si>
  <si>
    <t>Outreach support to indigenous peoples, including assistance for the wide dissemination of the knowledge, achievements and innovations of indigenous organisations in the forest-climate interface, engagement with indigenous women’s groups and forums, and collaboration with the UNPFII on knowledge related to forest &amp; climate processes.</t>
  </si>
  <si>
    <t xml:space="preserve">Organizing of training: 
- Regional workshops (2): 
 a) Eastern and Southern Africa (Kenya, Tanzania, Uganda, Mozambique, Namibia, Zambia, Zimbabwe)
 b) Latin America (countries TBD)
- Training in FAO Country projects: PNG, Bhutan/Myanmar/Cambodia, Sudan
- webinars (2): global target, 
- presentations (10+): visitors at HQ, COFO,  IUFRO and IUFFO-WFSE partner meeting 
- technical experts and developers' meeting with MoU partners (USFS, LUKE, Univ. of Gottingen) at HQ 
</t>
  </si>
  <si>
    <t>Advice to countries and their investment partners on the institutional architecture required to combine and sequence diverse types and sources of finance (public and private, domestic and international) for REDD+ implementation (with a specific focus on aligning international capital funds to the national action plan for REDD+ in Ecuador as a pioneer pilot case).</t>
  </si>
  <si>
    <t>Knowledge and advice to countries to achieve direct access to GCF, ensuring fit-for-purpose accreditation to GCF for Results-Based payments</t>
  </si>
  <si>
    <t>Enhancing performance of existing national funds and investment programmes that implement policies &amp; measures for REDD+ (demand received or anticipated in 8 countries)</t>
  </si>
  <si>
    <t>Several briefing notes and lessons products on the above streams, for consumption by national officials, policy-makers, entrepreneurs, financiers, cooperation partners and other stakeholders involved in the design, running, co-implementation and/or monitoring of REDD+ financing arrangements and mechanisms.</t>
  </si>
  <si>
    <t>Support design of REDD+ fund</t>
  </si>
  <si>
    <t>South-South co-operation between Côte d’Ivoire and Ghana on a transition towards REDD+ compliant cocoa sector</t>
  </si>
  <si>
    <t xml:space="preserve">Support private sector engagement in REDD+
</t>
  </si>
  <si>
    <t>Support civil society in REDD+ project/activities development and fundraising</t>
  </si>
  <si>
    <t xml:space="preserve">Support civil society participation in and monitoring of REDD+ project(s) and process, including safeguards implementation
</t>
  </si>
  <si>
    <t>Consensus built among key Ministries (Environment, Water &amp; Forests, Agriculture, Finance) on priority public investments to support the adoption of sustainable agroforestry by the private sector (cocoa) </t>
  </si>
  <si>
    <t xml:space="preserve"> Review of REDD+ programmes and funding proposals to the national environmental fund (BLU).</t>
  </si>
  <si>
    <t>Advise to the design of the funding instrument for REDD+.</t>
  </si>
  <si>
    <t xml:space="preserve">Advice to government and partners on the investment plan for the national funding instrument on REDD+.
</t>
  </si>
  <si>
    <t xml:space="preserve">1-2 Info briefs produced on the role of REDD+ in the context of the Paris Agreement.
</t>
  </si>
  <si>
    <t>Technical backstopping through the proposed NDC Solutions Exchange, in partnership with the UNDP NDC Support Programme, to selected countries (3-5 countries in 2019).</t>
  </si>
  <si>
    <t>Incorporation of revision to national bodies into the process to finalize the National REDD+ Strategy.</t>
  </si>
  <si>
    <t xml:space="preserve">Establishment of sub-national bodies in at least 5 states/region (building on 2018 states/regions) in tentatively Shan, Ayerarwady and Sagaing.
</t>
  </si>
  <si>
    <t>Exploratory desk scoping review on how to put in place a REDD+ financial mechanism for Myanmar.</t>
  </si>
  <si>
    <t>Review and provide feedback on the proposal safeguard component for results-based financing</t>
  </si>
  <si>
    <t>Review and support development of "citizen language" for SIS reports</t>
  </si>
  <si>
    <t>Support in the indicator design for SIS and generation of a guidance for the preparation of the  information summaries</t>
  </si>
  <si>
    <t xml:space="preserve">Strengthen communication on progress made in the implementation of the EIDCGB in Colombia at the international level </t>
  </si>
  <si>
    <t>Support the articulation of the Climate Governors Initiative (GCFTF) with the EICDGB and the DCI</t>
  </si>
  <si>
    <t>Facilitate the review of governance mechanisms for the implementation of the EICGBD</t>
  </si>
  <si>
    <t xml:space="preserve">Facilitate, systematize and disseminate participatory events (dialogues, Mesa REDD+) in the framework of the implementation of the JDI in Colombia </t>
  </si>
  <si>
    <t xml:space="preserve">Share experiences and  lessons learned related to the design of community forestry governance models, particularly in context of post-conflict among key actors in Colombia. </t>
  </si>
  <si>
    <t>Guidance document for national and subnational articulation of safeguards instruments applied in implementation programs on forests and climate (UNDP)</t>
  </si>
  <si>
    <t xml:space="preserve">Elaboration - review of financing models for  deforestation-free supply chains </t>
  </si>
  <si>
    <t>Technical assistance for the analysis of financial and impact assessments priority REDD + PAMs</t>
  </si>
  <si>
    <t>Hold webinar on the use of spatial information and tools for REDD+ planning to help prioritize actions and areas for REDD+ implementation.</t>
  </si>
  <si>
    <t>Provide technical support for SIS development, focusing on approaches and best practice from other countries, and ensuring consistency with UNFCCC guidelines.</t>
  </si>
  <si>
    <t>Prepare action plan (incl. consultation plan) for the development of the first summary of information on safeguards.</t>
  </si>
  <si>
    <t>Develop first summary of information on safeguards </t>
  </si>
  <si>
    <t>2.5 Improved National Forest Monitoring Systems and submitted Reference Levels conforming to UNFCCC requirements</t>
  </si>
  <si>
    <t>2.3. NFMS able to measure forest degradation and restoration</t>
  </si>
  <si>
    <t xml:space="preserve">Country pilot on strengthening REDD+, NDC and SDG linkages. 
</t>
  </si>
  <si>
    <t xml:space="preserve"> Technical inputs/advice provided to 4 partner countries. </t>
  </si>
  <si>
    <t xml:space="preserve">Policy brief on tenure security (including for indigenous peoples) for enhanced and sustainable REDD+ actions/strategies. 
</t>
  </si>
  <si>
    <t>A tenure / forest governance platform to sustain discussions and share practices on addressing tenure in the context of REDD+ towards RBPs.</t>
  </si>
  <si>
    <t xml:space="preserve">Support to dialogue sessions on REDD+, indigenous peoples and tenure right in diverse international policy-debate platforms. 
</t>
  </si>
  <si>
    <t xml:space="preserve">Knowledge and communication products </t>
  </si>
  <si>
    <t xml:space="preserve">Provision and enhancement of tools on tenure demarcation and forest mapping available to indigenous peoples. </t>
  </si>
  <si>
    <t xml:space="preserve">2.1 A consolidated and operational NFMS, including one completed National Forest Inventory, one satellite land monitoring system, and a GHG inventory system.  </t>
  </si>
  <si>
    <t xml:space="preserve">3.1 Design, appraisal and adoption of REDD+ policies and measures across sectors, including their integration into the national climate-mitigation contributions (or NDCs)
</t>
  </si>
  <si>
    <t>3.2 New legal texts drafted and ready for adoption to improve forest governance and provide an enabling framework for REDD+ implementation across sectors</t>
  </si>
  <si>
    <t>Support REDD+ integration accross sectors</t>
  </si>
  <si>
    <t>Continued technical assistance on safeguards and recommendations on rendering the safeguards information system (SIS) operational</t>
  </si>
  <si>
    <t>Consolidation of monitoring of restoration activities as part of the NFMS by assisting in the  operationalization of the methodology for monitoring the restoration at the national level. (for example, through assisting the preparation of manuals, guides and the definition of modifications to the SNIF)</t>
  </si>
  <si>
    <t xml:space="preserve">3.6 Colombia consolidates and implements National Forest Monitoring Systems as required across all REDD+ phases, submitting Reference Levels that conform to international UNFCCC requirements, aligned to the NS/AP for REDD+ and to support execution of policies and measures. </t>
  </si>
  <si>
    <t xml:space="preserve">Technical support for the publication of a policy report and an information sheet with the results of the multiple benefits analysis of REDD + actions, highlighting the main results, the application of the analysis, and lessons learned from the process (EICDGB) </t>
  </si>
  <si>
    <t>Review and / or technical support for the preparation of the subsequent summary of information on safeguards (as applicable)</t>
  </si>
  <si>
    <t>3.12 Improved coordination and institutional capacities for the NFMS</t>
  </si>
  <si>
    <t>3.22 Peru´s contributions to mitigate climate change though REDD+ are measured and reported as required through all REDD+ phases and coupled with related emission reduction actions and with the necessary institutional arrangements in place</t>
  </si>
  <si>
    <t>Provide technical assistance to extend the forest monitoring to additional activities and biomes.</t>
  </si>
  <si>
    <t>Provide technical support, including through participation on the "REDD+ safeguards experts working group", on the delivery of Peru's safeguards roadmap</t>
  </si>
  <si>
    <t xml:space="preserve">2.6 MARD Decision on NFMS including MRV and Monitoring procedures </t>
  </si>
  <si>
    <t>3.28 Provincial and REDD+ implementation and monitoring system piloted, reviewed and incorporated into government decisions</t>
  </si>
  <si>
    <t xml:space="preserve">Provide policy advice to support planning reform for land-use planning that integrates forestry
</t>
  </si>
  <si>
    <t>Provide capacity development to REDD+ implementers to operationalize M&amp;E framework for REDD+ implementation</t>
  </si>
  <si>
    <t>Advice relevant multi-stakeholder consultations on guidance for integrated land use planning with a forestry component</t>
  </si>
  <si>
    <t>Inform knowledge exchanges between countries in the Lower Mekong Sub-region (LMS) on REDD+ intervention packages</t>
  </si>
  <si>
    <t>Review of funding proposals for implementing the REDD+ investment plan</t>
  </si>
  <si>
    <t>Advice/training to the CSO platform on REDD+ implementation programmes and processes</t>
  </si>
  <si>
    <t>3.36 Triggers for transformational change in land use are identified and selected tools/practices are tailored to the REDD+ context.</t>
  </si>
  <si>
    <t xml:space="preserve"> 3.34 The “business case” for the private sector to commit to REDD+ established and publicly disseminated</t>
  </si>
  <si>
    <t xml:space="preserve"> 3.35 Finance institutions scale up lending to or investment in projects and businesses that decouple deforestation from productive activities.
</t>
  </si>
  <si>
    <t xml:space="preserve">3.42 Knowledge products/tools (including a knowledge hub) on the role of tenure systems to address drivers of deforestation and forest degradation are prepared,  collected and disseminated
</t>
  </si>
  <si>
    <t>3.43 Partner countries use UN-REDD knowledge and expertise on multi-stakeholder engagement, democratic governance and indigenous-peoples’ rights in their REDD+ action</t>
  </si>
  <si>
    <r>
      <t xml:space="preserve">Linking REDD+, the </t>
    </r>
    <r>
      <rPr>
        <b/>
        <i/>
        <sz val="9"/>
        <rFont val="Calibri"/>
        <family val="2"/>
      </rPr>
      <t>Paris Agreement</t>
    </r>
    <r>
      <rPr>
        <b/>
        <sz val="9"/>
        <rFont val="Calibri"/>
        <family val="2"/>
      </rPr>
      <t>, NDCs and the SDGs Budget by Output, UNDG Category and UN Agency (USD)</t>
    </r>
  </si>
  <si>
    <t>3.39 A country-oriented training and advisory programme to mainstream international policy commitments into national REDD+ processes: i.e. NDCs; key provisions of the Paris Agreement (Art. 6 / ITMOs, the Enhanced Transparency Framework (ETF)), and the SDGs agenda</t>
  </si>
  <si>
    <t xml:space="preserve">2.11 Contributing to the output on international policy alignment section
</t>
  </si>
  <si>
    <t>3.41 Partner countries implementing REDD+ policies and measures have increased knowledge of specific requirements of current REDD+ funding sources (e.g., GCF, Carbon Fund) and about options for national investment &amp; institutional frameworks for REDD+ finance</t>
  </si>
  <si>
    <t xml:space="preserve">3.32  Knowledge and country-based lessons on REDD+ are compiled and shared among countries
</t>
  </si>
  <si>
    <t>2.12  Knowledge and country-based lessons on REDD+ are compiled and shared on a bi-monthly basis through the REDD+ Resource Newsletter (a key channel for countries to report on their REDD+ actions)</t>
  </si>
  <si>
    <t>Indirect support</t>
  </si>
  <si>
    <t>3.27 Diverse governmental, economic and provincial actors engage in REDD+ policies &amp; measures in Viet Nam</t>
  </si>
  <si>
    <t>1 info brief on REDD+ and SDGs</t>
  </si>
  <si>
    <t>3.17 South-South cooperation on NFMS and MRV requirements expanded and increased capacity of the NFMS &amp; SNMRV to respond to multiple reporting requirements and aligned to UNFCCC </t>
  </si>
  <si>
    <t xml:space="preserve">3.16 Options for private sector finance and inclusion of REDD in carbon markets in Mexico identified and assessed 
</t>
  </si>
  <si>
    <t xml:space="preserve">3.7 Functional and effective participatory  mechanisms to discuss policy options to address forest and REDD+ issues, covering the different rural stakeholders (e.g.: indigenous peoples,  AfroColombian people, forest communities)
</t>
  </si>
  <si>
    <t>Technical sessions for country stakeholders on REDD+ in the context of NDCs, Enhanced Transparency Framework, and/or Article 6 (3 in-person and/or remote regional or global presentations, sessions).</t>
  </si>
  <si>
    <t>Provide policy recommendations for the scaling up of support actions related to community forestry in line with EICDGB (incorporating early lessons learned from the pilots to be initiated in 2018) and creating synergies with the post-conflict support portfolios of the agencies. (FAO in coordination with UNDP)</t>
  </si>
  <si>
    <t>Provide technical inputs for the definition of Peru´s LULUCF NDCs measures and the interlinkages with the FREL</t>
  </si>
  <si>
    <t>Provide technical inputs to support discussions on policy development for forests and climate change</t>
  </si>
  <si>
    <t>Advise on the overall execution of JDI´s Phase II Implementation Plan, including inputs to ToRs and products aimed at accomplishing JDI´s phase II deliverables; and assist and participate in working sessions and specialized meetings with relevant stakeholders</t>
  </si>
  <si>
    <t>Develop a comparative analysis of “Grievance and Redress Mechanism” (GRM) cases from selected countries in the region</t>
  </si>
  <si>
    <t>Provide inputs to analyse the implications for Peru, regarding alternatives to address PA´s Article 6 cooperative approaches and other schemes</t>
  </si>
  <si>
    <t>Contribute with recommendations for stakeholder (incluidng IPs) engagement plans/strategies for PAMs implementation and LULUCF NDCs</t>
  </si>
  <si>
    <t>Provide comments and technical inputs for the definition of Peru´s LULUCF NDCs measures and for contributing to decision making in the NDC - GTM</t>
  </si>
  <si>
    <t>Provide technical inputs to analyze the role of community “life plans” and its articulation for the implementation of REDD+ and NDCs PAMs</t>
  </si>
  <si>
    <t>Contribute with technical inputs to implement components 1.1, and 1.2 of JDI’s Phase II deliverable a)</t>
  </si>
  <si>
    <t>Produce a comparative analysis of financial mechanisms based on national entities and procedures, in countries receiving RBPs</t>
  </si>
  <si>
    <t>Participate and provide inputs on working sessions and technical meetings about a national financial mechanism with relevant stakeholders</t>
  </si>
  <si>
    <t>Provide technical support to review and update baseline spatial information available on social and environmental benefits, as well as on risks and land-use and management categories</t>
  </si>
  <si>
    <t xml:space="preserve"> Contribute to the engagement of the financial sector by examining financing options for agricultural business models</t>
  </si>
  <si>
    <t>Provide technical assistance for the analysis and development of agricultural business models, prepared for the JDI</t>
  </si>
  <si>
    <t>Provide technical support on the development of guidelines for developing and updating the summary of information on safeguards</t>
  </si>
  <si>
    <t>Technical support in the revision and continuous improvement of the SIS, and development of materials focused on the strengthening of capacities for the operation of the SIS (cont. of activity of 2018)</t>
  </si>
  <si>
    <t>Mapping of the climate finance architecture in Mexico</t>
  </si>
  <si>
    <t xml:space="preserve"> Technical support in the collection of experiences learned in the implementation of financing models in the sector and completed projects (eg PBCC), as well as recommendations for the future.</t>
  </si>
  <si>
    <t>South-South exchanges in the implementation of REDD +, facilitation of result-based payments and application of the Benefit Distribution Plan</t>
  </si>
  <si>
    <t>Document that compiles the bases for the financing strategy for the ENAREDD+ of Mexico</t>
  </si>
  <si>
    <t>Support technical support to identify viable sources of financing in the long term that should be included in the investment plans.</t>
  </si>
  <si>
    <t>Technical support in the analysis on the instrumentation of a debt tool (forest bonus / green bond)</t>
  </si>
  <si>
    <t>Design of concurrent general investment mechanisms</t>
  </si>
  <si>
    <t>Analysis and elaboration of proposals towards private financing (market) for REDD + schemes.</t>
  </si>
  <si>
    <t>Legal technical support to CONAFOR to continue with the analysis and definition of ownership of emission reduction</t>
  </si>
  <si>
    <t xml:space="preserve">Contributions in the technical discussion on new methodologies to update the NREF / REL with the support of specialists in the different stages of revision of the reference level </t>
  </si>
  <si>
    <t xml:space="preserve">Incorporation of SEPAL as part of the tools available for the Forest Monitoring System of Mexico, which allows improving the monitoring </t>
  </si>
  <si>
    <t xml:space="preserve">Elaboration of a methodological proposal for the updated analysis of the drivers of deforestation and the impact of public policies on the progress of REDD + activities, identifying policy recommendations </t>
  </si>
  <si>
    <t>Follow-up of the integration of CATIE, CCAD-GIZ and WRI to the CEVMF.</t>
  </si>
  <si>
    <t>Support to the Virtual Center of Excellence in Forest Monitoring to improve the repository, systematization and networks of SNMF for cost-effective interactions between countries in the development of MRV systems.</t>
  </si>
  <si>
    <t>Implementation of the South-South Cooperation work plan with regional partners to address specific MRV gaps under the Mesoamerican Environmental Sustainability Strategy.</t>
  </si>
  <si>
    <t>Technical support for the prioritization and structuring of investment projects within the framework of the Pacific Portfolio or other prioritized areas</t>
  </si>
  <si>
    <t>Review and technical recommendations on the implementation plan for community forestry pilots (Department to be confirmed) and its link with the EICDGB</t>
  </si>
  <si>
    <t>Support to REDD+ Investment Plan Proposal development</t>
  </si>
  <si>
    <t>Pilot program proposals for REDD+ results-based payments (*)</t>
  </si>
  <si>
    <t>Sustainable jurisdiction approaches (*)</t>
  </si>
  <si>
    <t>Demonstration of connecting an innovative forest restoration pilot to a National REDD+ Strategy (*)</t>
  </si>
  <si>
    <t>Enhancing forest &amp; land commitments in NDCs (*)</t>
  </si>
  <si>
    <t>(*) Financed from UNDP unspent 2017 funds: $540,350</t>
  </si>
  <si>
    <t>(*) Financed from UNDP unspent 2017 funds: $267,500</t>
  </si>
  <si>
    <t>2019 BUDGET (final draft 14 Augut 2018)</t>
  </si>
  <si>
    <t>2019 (as per inputs from agencies in June-July-Aug 2018)</t>
  </si>
  <si>
    <t>Info brief/KM materials  on triggers, drivers and barriers to transitions towards the integrated and holistic solutions required in landscapes</t>
  </si>
  <si>
    <t>2020 (as per totals approved at EB-1)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</si>
</sst>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 #,##0.00_ ;_ * \-#,##0.00_ ;_ * &quot;-&quot;??_ ;_ @_ "/>
    <numFmt numFmtId="165" formatCode="_(* #,##0_);_(* \(#,##0\);_(* &quot;-&quot;_);_(@_)"/>
    <numFmt numFmtId="166" formatCode="_(&quot;$&quot;* #,##0.00_);_(&quot;$&quot;* \(#,##0.00\);_(&quot;$&quot;* &quot;-&quot;??_);_(@_)"/>
    <numFmt numFmtId="167" formatCode="_(* #,##0.00_);_(* \(#,##0.00\);_(* &quot;-&quot;??_);_(@_)"/>
    <numFmt numFmtId="168" formatCode="_(* #,##0_);_(* \(#,##0\);_(* &quot;-&quot;??_);_(@_)"/>
    <numFmt numFmtId="169" formatCode="_ * #,##0_ ;_ * \-#,##0_ ;_ * &quot;-&quot;??_ ;_ @_ "/>
    <numFmt numFmtId="170" formatCode="_-* #,##0_-;\-* #,##0_-;_-* &quot;-&quot;??_-;_-@_-"/>
  </numFmts>
  <fonts count="5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9"/>
      <color indexed="8"/>
      <name val="Calibri"/>
      <family val="2"/>
    </font>
    <font>
      <b/>
      <i/>
      <sz val="9"/>
      <name val="Calibri"/>
      <family val="2"/>
    </font>
    <font>
      <b/>
      <sz val="9"/>
      <name val="Calibri"/>
      <family val="2"/>
    </font>
    <font>
      <sz val="11"/>
      <color theme="1"/>
      <name val="Calibri"/>
      <family val="2"/>
      <scheme val="minor"/>
    </font>
    <font>
      <sz val="12"/>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b/>
      <sz val="11"/>
      <color theme="8" tint="-0.249977111117893"/>
      <name val="Calibri"/>
      <family val="2"/>
      <scheme val="minor"/>
    </font>
    <font>
      <i/>
      <sz val="11"/>
      <color theme="1"/>
      <name val="Calibri"/>
      <family val="2"/>
      <scheme val="minor"/>
    </font>
    <font>
      <b/>
      <i/>
      <sz val="11"/>
      <color theme="1"/>
      <name val="Calibri"/>
      <family val="2"/>
      <scheme val="minor"/>
    </font>
    <font>
      <sz val="11"/>
      <name val="Calibri"/>
      <family val="2"/>
      <scheme val="minor"/>
    </font>
    <font>
      <b/>
      <sz val="10"/>
      <color rgb="FF000000"/>
      <name val="Calibri"/>
      <family val="2"/>
      <scheme val="minor"/>
    </font>
    <font>
      <sz val="11"/>
      <color rgb="FF000000"/>
      <name val="Calibri"/>
      <family val="2"/>
      <scheme val="minor"/>
    </font>
    <font>
      <sz val="10"/>
      <color rgb="FF000000"/>
      <name val="Calibri"/>
      <family val="2"/>
      <scheme val="minor"/>
    </font>
    <font>
      <b/>
      <sz val="11"/>
      <color rgb="FF000000"/>
      <name val="Calibri"/>
      <family val="2"/>
      <scheme val="minor"/>
    </font>
    <font>
      <b/>
      <sz val="9"/>
      <color theme="1"/>
      <name val="Calibri"/>
      <family val="2"/>
      <scheme val="minor"/>
    </font>
    <font>
      <sz val="10"/>
      <color theme="1"/>
      <name val="Calibri"/>
      <family val="2"/>
      <scheme val="minor"/>
    </font>
    <font>
      <b/>
      <sz val="10"/>
      <color theme="8" tint="-0.249977111117893"/>
      <name val="Calibri"/>
      <family val="2"/>
      <scheme val="minor"/>
    </font>
    <font>
      <i/>
      <sz val="10"/>
      <color theme="1"/>
      <name val="Calibri"/>
      <family val="2"/>
      <scheme val="minor"/>
    </font>
    <font>
      <b/>
      <i/>
      <sz val="10"/>
      <color theme="1"/>
      <name val="Calibri"/>
      <family val="2"/>
      <scheme val="minor"/>
    </font>
    <font>
      <sz val="10"/>
      <name val="Calibri"/>
      <family val="2"/>
      <scheme val="minor"/>
    </font>
    <font>
      <sz val="9"/>
      <color rgb="FF000000"/>
      <name val="Calibri"/>
      <family val="2"/>
      <scheme val="minor"/>
    </font>
    <font>
      <b/>
      <sz val="9"/>
      <color rgb="FFFF0000"/>
      <name val="Calibri"/>
      <family val="2"/>
      <scheme val="minor"/>
    </font>
    <font>
      <b/>
      <sz val="9"/>
      <color rgb="FF0000CC"/>
      <name val="Calibri"/>
      <family val="2"/>
      <scheme val="minor"/>
    </font>
    <font>
      <b/>
      <sz val="9"/>
      <color theme="8" tint="-0.249977111117893"/>
      <name val="Calibri"/>
      <family val="2"/>
      <scheme val="minor"/>
    </font>
    <font>
      <sz val="9"/>
      <name val="Calibri"/>
      <family val="2"/>
      <scheme val="minor"/>
    </font>
    <font>
      <sz val="9"/>
      <color rgb="FF0000CC"/>
      <name val="Calibri"/>
      <family val="2"/>
      <scheme val="minor"/>
    </font>
    <font>
      <b/>
      <sz val="9"/>
      <name val="Calibri"/>
      <family val="2"/>
      <scheme val="minor"/>
    </font>
    <font>
      <i/>
      <sz val="9"/>
      <color theme="1"/>
      <name val="Calibri"/>
      <family val="2"/>
      <scheme val="minor"/>
    </font>
    <font>
      <b/>
      <i/>
      <sz val="9"/>
      <color theme="1"/>
      <name val="Calibri"/>
      <family val="2"/>
      <scheme val="minor"/>
    </font>
    <font>
      <b/>
      <sz val="9"/>
      <color rgb="FF000000"/>
      <name val="Calibri"/>
      <family val="2"/>
      <scheme val="minor"/>
    </font>
    <font>
      <sz val="9"/>
      <color rgb="FFFF0000"/>
      <name val="Calibri"/>
      <family val="2"/>
      <scheme val="minor"/>
    </font>
  </fonts>
  <fills count="4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D8D8D8"/>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59999389629810485"/>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s>
  <cellStyleXfs count="232">
    <xf numFmtId="0" fontId="0"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6" fillId="22" borderId="2" applyNumberFormat="0" applyAlignment="0" applyProtection="0"/>
    <xf numFmtId="0" fontId="6" fillId="22" borderId="2" applyNumberFormat="0" applyAlignment="0" applyProtection="0"/>
    <xf numFmtId="0" fontId="6" fillId="22" borderId="2" applyNumberFormat="0" applyAlignment="0" applyProtection="0"/>
    <xf numFmtId="167" fontId="1"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 fillId="0" borderId="0" applyFont="0" applyFill="0" applyBorder="0" applyAlignment="0" applyProtection="0"/>
    <xf numFmtId="167" fontId="2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1"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4" fontId="2" fillId="0" borderId="0" applyFont="0" applyFill="0" applyBorder="0" applyAlignment="0" applyProtection="0"/>
    <xf numFmtId="164" fontId="2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7" fontId="23" fillId="0" borderId="0" applyFont="0" applyFill="0" applyBorder="0" applyAlignment="0" applyProtection="0"/>
    <xf numFmtId="43" fontId="2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3"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164" fontId="23" fillId="0" borderId="0" applyFont="0" applyFill="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 fillId="0" borderId="0"/>
    <xf numFmtId="0" fontId="19"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4" fillId="0" borderId="9">
      <alignment vertical="top" wrapText="1"/>
    </xf>
    <xf numFmtId="0" fontId="24" fillId="0" borderId="9">
      <alignment vertical="top" wrapText="1"/>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682">
    <xf numFmtId="0" fontId="0" fillId="0" borderId="0" xfId="0"/>
    <xf numFmtId="0" fontId="23" fillId="0" borderId="0" xfId="167"/>
    <xf numFmtId="0" fontId="23" fillId="0" borderId="0" xfId="167" applyAlignment="1">
      <alignment wrapText="1"/>
    </xf>
    <xf numFmtId="168" fontId="23" fillId="0" borderId="0" xfId="167" applyNumberFormat="1"/>
    <xf numFmtId="0" fontId="23" fillId="0" borderId="0" xfId="167" applyFont="1"/>
    <xf numFmtId="165" fontId="23" fillId="0" borderId="0" xfId="167" applyNumberFormat="1"/>
    <xf numFmtId="169" fontId="23" fillId="0" borderId="0" xfId="167" applyNumberFormat="1"/>
    <xf numFmtId="164" fontId="23" fillId="0" borderId="0" xfId="167" applyNumberFormat="1"/>
    <xf numFmtId="169" fontId="23" fillId="0" borderId="0" xfId="153" applyNumberFormat="1"/>
    <xf numFmtId="0" fontId="26" fillId="25" borderId="11" xfId="167" applyFont="1" applyFill="1" applyBorder="1" applyAlignment="1">
      <alignment wrapText="1"/>
    </xf>
    <xf numFmtId="0" fontId="25" fillId="0" borderId="0" xfId="167" applyFont="1"/>
    <xf numFmtId="0" fontId="23" fillId="26" borderId="12" xfId="167" applyFill="1" applyBorder="1"/>
    <xf numFmtId="0" fontId="23" fillId="26" borderId="12" xfId="167" applyFont="1" applyFill="1" applyBorder="1"/>
    <xf numFmtId="165" fontId="23" fillId="26" borderId="12" xfId="167" applyNumberFormat="1" applyFill="1" applyBorder="1"/>
    <xf numFmtId="0" fontId="27" fillId="0" borderId="0" xfId="167" applyFont="1"/>
    <xf numFmtId="0" fontId="25" fillId="27" borderId="13" xfId="161" applyFont="1" applyFill="1" applyBorder="1" applyAlignment="1">
      <alignment horizontal="center" vertical="center"/>
    </xf>
    <xf numFmtId="0" fontId="23" fillId="0" borderId="0" xfId="161"/>
    <xf numFmtId="0" fontId="28" fillId="0" borderId="14" xfId="161" applyFont="1" applyFill="1" applyBorder="1"/>
    <xf numFmtId="169" fontId="28" fillId="0" borderId="14" xfId="161" applyNumberFormat="1" applyFont="1" applyFill="1" applyBorder="1" applyAlignment="1">
      <alignment horizontal="right"/>
    </xf>
    <xf numFmtId="0" fontId="25" fillId="0" borderId="14" xfId="161" applyFont="1" applyFill="1" applyBorder="1"/>
    <xf numFmtId="169" fontId="25" fillId="0" borderId="14" xfId="153" applyNumberFormat="1" applyFont="1" applyFill="1" applyBorder="1" applyAlignment="1">
      <alignment horizontal="right"/>
    </xf>
    <xf numFmtId="0" fontId="29" fillId="0" borderId="14" xfId="161" applyFont="1" applyBorder="1" applyAlignment="1">
      <alignment horizontal="right"/>
    </xf>
    <xf numFmtId="169" fontId="29" fillId="0" borderId="14" xfId="161" applyNumberFormat="1" applyFont="1" applyBorder="1"/>
    <xf numFmtId="0" fontId="25" fillId="0" borderId="14" xfId="161" applyFont="1" applyBorder="1"/>
    <xf numFmtId="169" fontId="30" fillId="0" borderId="14" xfId="161" applyNumberFormat="1" applyFont="1" applyBorder="1"/>
    <xf numFmtId="169" fontId="28" fillId="0" borderId="14" xfId="104" applyNumberFormat="1" applyFont="1" applyFill="1" applyBorder="1"/>
    <xf numFmtId="169" fontId="23" fillId="0" borderId="0" xfId="161" applyNumberFormat="1"/>
    <xf numFmtId="169" fontId="31" fillId="0" borderId="14" xfId="104" applyNumberFormat="1" applyFont="1" applyFill="1" applyBorder="1"/>
    <xf numFmtId="169" fontId="29" fillId="0" borderId="14" xfId="104" applyNumberFormat="1" applyFont="1" applyBorder="1"/>
    <xf numFmtId="0" fontId="23" fillId="0" borderId="15" xfId="161" applyFont="1" applyBorder="1"/>
    <xf numFmtId="169" fontId="23" fillId="0" borderId="15" xfId="104" applyNumberFormat="1" applyFont="1" applyBorder="1"/>
    <xf numFmtId="169" fontId="23" fillId="0" borderId="0" xfId="161" applyNumberFormat="1" applyBorder="1"/>
    <xf numFmtId="169" fontId="23" fillId="0" borderId="0" xfId="104" applyNumberFormat="1" applyFont="1"/>
    <xf numFmtId="3" fontId="23" fillId="0" borderId="0" xfId="161" applyNumberFormat="1" applyBorder="1"/>
    <xf numFmtId="3" fontId="23" fillId="0" borderId="0" xfId="161" applyNumberFormat="1"/>
    <xf numFmtId="0" fontId="23" fillId="0" borderId="0" xfId="161" applyFont="1"/>
    <xf numFmtId="0" fontId="32" fillId="28" borderId="16" xfId="0" applyFont="1" applyFill="1" applyBorder="1" applyAlignment="1">
      <alignment vertical="center" wrapText="1"/>
    </xf>
    <xf numFmtId="0" fontId="32" fillId="28" borderId="17" xfId="0" applyFont="1" applyFill="1" applyBorder="1" applyAlignment="1">
      <alignment vertical="center" wrapText="1"/>
    </xf>
    <xf numFmtId="0" fontId="33" fillId="0" borderId="18" xfId="0" applyFont="1" applyBorder="1" applyAlignment="1">
      <alignment vertical="center" wrapText="1"/>
    </xf>
    <xf numFmtId="0" fontId="32" fillId="0" borderId="19" xfId="0" applyFont="1" applyBorder="1" applyAlignment="1">
      <alignment horizontal="right" vertical="center"/>
    </xf>
    <xf numFmtId="0" fontId="34" fillId="0" borderId="19" xfId="0" applyFont="1" applyBorder="1" applyAlignment="1">
      <alignment horizontal="right" vertical="center"/>
    </xf>
    <xf numFmtId="0" fontId="34" fillId="0" borderId="19" xfId="0" applyFont="1" applyBorder="1" applyAlignment="1">
      <alignment vertical="center"/>
    </xf>
    <xf numFmtId="0" fontId="32" fillId="28" borderId="18" xfId="0" applyFont="1" applyFill="1" applyBorder="1" applyAlignment="1">
      <alignment vertical="center" wrapText="1"/>
    </xf>
    <xf numFmtId="0" fontId="32" fillId="28" borderId="19" xfId="0" applyFont="1" applyFill="1" applyBorder="1" applyAlignment="1">
      <alignment horizontal="right" vertical="center"/>
    </xf>
    <xf numFmtId="0" fontId="34" fillId="28" borderId="19" xfId="0" applyFont="1" applyFill="1" applyBorder="1" applyAlignment="1">
      <alignment horizontal="right" vertical="center"/>
    </xf>
    <xf numFmtId="169" fontId="33" fillId="0" borderId="19" xfId="0" applyNumberFormat="1" applyFont="1" applyBorder="1" applyAlignment="1">
      <alignment horizontal="right" vertical="center"/>
    </xf>
    <xf numFmtId="169" fontId="35" fillId="28" borderId="19" xfId="0" applyNumberFormat="1" applyFont="1" applyFill="1" applyBorder="1" applyAlignment="1">
      <alignment horizontal="right" vertical="center"/>
    </xf>
    <xf numFmtId="168" fontId="36" fillId="29" borderId="21" xfId="167" applyNumberFormat="1" applyFont="1" applyFill="1" applyBorder="1" applyAlignment="1">
      <alignment vertical="center" wrapText="1"/>
    </xf>
    <xf numFmtId="0" fontId="37" fillId="0" borderId="21" xfId="0" applyFont="1" applyBorder="1"/>
    <xf numFmtId="0" fontId="37" fillId="0" borderId="21" xfId="0" applyFont="1" applyBorder="1" applyAlignment="1">
      <alignment wrapText="1"/>
    </xf>
    <xf numFmtId="0" fontId="36" fillId="30" borderId="21" xfId="167" applyFont="1" applyFill="1" applyBorder="1" applyAlignment="1">
      <alignment vertical="center" wrapText="1"/>
    </xf>
    <xf numFmtId="0" fontId="26" fillId="25" borderId="21" xfId="167" applyFont="1" applyFill="1" applyBorder="1" applyAlignment="1">
      <alignment wrapText="1"/>
    </xf>
    <xf numFmtId="165" fontId="26" fillId="25" borderId="21" xfId="167" applyNumberFormat="1" applyFont="1" applyFill="1" applyBorder="1"/>
    <xf numFmtId="168" fontId="26" fillId="25" borderId="21" xfId="167" applyNumberFormat="1" applyFont="1" applyFill="1" applyBorder="1"/>
    <xf numFmtId="169" fontId="37" fillId="0" borderId="21" xfId="153" applyNumberFormat="1" applyFont="1" applyFill="1" applyBorder="1" applyAlignment="1"/>
    <xf numFmtId="165" fontId="37" fillId="0" borderId="21" xfId="167" applyNumberFormat="1" applyFont="1" applyBorder="1"/>
    <xf numFmtId="0" fontId="26" fillId="31" borderId="21" xfId="167" applyFont="1" applyFill="1" applyBorder="1" applyAlignment="1">
      <alignment horizontal="left" wrapText="1"/>
    </xf>
    <xf numFmtId="168" fontId="26" fillId="31" borderId="21" xfId="85" applyNumberFormat="1" applyFont="1" applyFill="1" applyBorder="1" applyAlignment="1">
      <alignment horizontal="right"/>
    </xf>
    <xf numFmtId="169" fontId="37" fillId="0" borderId="21" xfId="0" applyNumberFormat="1" applyFont="1" applyFill="1" applyBorder="1" applyAlignment="1"/>
    <xf numFmtId="169" fontId="37" fillId="0" borderId="21" xfId="167" applyNumberFormat="1" applyFont="1" applyBorder="1"/>
    <xf numFmtId="168" fontId="26" fillId="31" borderId="21" xfId="167" applyNumberFormat="1" applyFont="1" applyFill="1" applyBorder="1" applyAlignment="1">
      <alignment wrapText="1"/>
    </xf>
    <xf numFmtId="169" fontId="26" fillId="31" borderId="21" xfId="167" applyNumberFormat="1" applyFont="1" applyFill="1" applyBorder="1" applyAlignment="1">
      <alignment wrapText="1"/>
    </xf>
    <xf numFmtId="0" fontId="37" fillId="0" borderId="21" xfId="167" applyFont="1" applyBorder="1" applyAlignment="1">
      <alignment wrapText="1"/>
    </xf>
    <xf numFmtId="169" fontId="37" fillId="0" borderId="21" xfId="153" applyNumberFormat="1" applyFont="1" applyBorder="1"/>
    <xf numFmtId="0" fontId="26" fillId="32" borderId="21" xfId="167" applyFont="1" applyFill="1" applyBorder="1" applyAlignment="1">
      <alignment wrapText="1"/>
    </xf>
    <xf numFmtId="169" fontId="26" fillId="32" borderId="21" xfId="153" applyNumberFormat="1" applyFont="1" applyFill="1" applyBorder="1"/>
    <xf numFmtId="0" fontId="26" fillId="27" borderId="21" xfId="161" applyFont="1" applyFill="1" applyBorder="1" applyAlignment="1">
      <alignment horizontal="center" vertical="center"/>
    </xf>
    <xf numFmtId="0" fontId="26" fillId="27" borderId="22" xfId="161" applyFont="1" applyFill="1" applyBorder="1" applyAlignment="1">
      <alignment horizontal="center" vertical="center"/>
    </xf>
    <xf numFmtId="0" fontId="38" fillId="0" borderId="23" xfId="161" applyFont="1" applyFill="1" applyBorder="1"/>
    <xf numFmtId="169" fontId="38" fillId="0" borderId="23" xfId="161" applyNumberFormat="1" applyFont="1" applyFill="1" applyBorder="1" applyAlignment="1">
      <alignment horizontal="right"/>
    </xf>
    <xf numFmtId="169" fontId="38" fillId="0" borderId="24" xfId="161" applyNumberFormat="1" applyFont="1" applyFill="1" applyBorder="1" applyAlignment="1">
      <alignment horizontal="right"/>
    </xf>
    <xf numFmtId="0" fontId="26" fillId="0" borderId="14" xfId="161" applyFont="1" applyFill="1" applyBorder="1"/>
    <xf numFmtId="169" fontId="26" fillId="0" borderId="14" xfId="153" applyNumberFormat="1" applyFont="1" applyFill="1" applyBorder="1" applyAlignment="1">
      <alignment horizontal="right"/>
    </xf>
    <xf numFmtId="169" fontId="26" fillId="0" borderId="25" xfId="153" applyNumberFormat="1" applyFont="1" applyFill="1" applyBorder="1" applyAlignment="1">
      <alignment horizontal="right"/>
    </xf>
    <xf numFmtId="0" fontId="39" fillId="0" borderId="14" xfId="161" applyFont="1" applyBorder="1" applyAlignment="1">
      <alignment horizontal="right"/>
    </xf>
    <xf numFmtId="169" fontId="39" fillId="0" borderId="14" xfId="161" applyNumberFormat="1" applyFont="1" applyBorder="1"/>
    <xf numFmtId="169" fontId="39" fillId="0" borderId="25" xfId="161" applyNumberFormat="1" applyFont="1" applyBorder="1"/>
    <xf numFmtId="0" fontId="26" fillId="0" borderId="14" xfId="161" applyFont="1" applyBorder="1"/>
    <xf numFmtId="169" fontId="40" fillId="0" borderId="14" xfId="161" applyNumberFormat="1" applyFont="1" applyBorder="1"/>
    <xf numFmtId="169" fontId="40" fillId="0" borderId="25" xfId="161" applyNumberFormat="1" applyFont="1" applyBorder="1"/>
    <xf numFmtId="169" fontId="39" fillId="0" borderId="25" xfId="161" applyNumberFormat="1" applyFont="1" applyFill="1" applyBorder="1"/>
    <xf numFmtId="0" fontId="38" fillId="0" borderId="14" xfId="161" applyFont="1" applyFill="1" applyBorder="1"/>
    <xf numFmtId="169" fontId="38" fillId="0" borderId="14" xfId="104" applyNumberFormat="1" applyFont="1" applyFill="1" applyBorder="1"/>
    <xf numFmtId="169" fontId="38" fillId="0" borderId="25" xfId="104" applyNumberFormat="1" applyFont="1" applyFill="1" applyBorder="1"/>
    <xf numFmtId="169" fontId="41" fillId="0" borderId="14" xfId="104" applyNumberFormat="1" applyFont="1" applyFill="1" applyBorder="1"/>
    <xf numFmtId="169" fontId="41" fillId="0" borderId="25" xfId="104" applyNumberFormat="1" applyFont="1" applyFill="1" applyBorder="1"/>
    <xf numFmtId="169" fontId="39" fillId="0" borderId="14" xfId="104" applyNumberFormat="1" applyFont="1" applyBorder="1"/>
    <xf numFmtId="169" fontId="39" fillId="0" borderId="25" xfId="104" applyNumberFormat="1" applyFont="1" applyBorder="1"/>
    <xf numFmtId="0" fontId="37" fillId="0" borderId="15" xfId="161" applyFont="1" applyBorder="1"/>
    <xf numFmtId="169" fontId="37" fillId="0" borderId="15" xfId="104" applyNumberFormat="1" applyFont="1" applyBorder="1"/>
    <xf numFmtId="169" fontId="37" fillId="0" borderId="26" xfId="104" applyNumberFormat="1" applyFont="1" applyBorder="1"/>
    <xf numFmtId="0" fontId="26" fillId="0" borderId="21" xfId="161" applyFont="1" applyFill="1" applyBorder="1"/>
    <xf numFmtId="169" fontId="26" fillId="0" borderId="21" xfId="104" applyNumberFormat="1" applyFont="1" applyBorder="1"/>
    <xf numFmtId="169" fontId="26" fillId="0" borderId="22" xfId="104" applyNumberFormat="1" applyFont="1" applyBorder="1"/>
    <xf numFmtId="0" fontId="25" fillId="0" borderId="27" xfId="161" applyFont="1" applyBorder="1"/>
    <xf numFmtId="0" fontId="23" fillId="0" borderId="27" xfId="161" applyBorder="1"/>
    <xf numFmtId="0" fontId="25" fillId="0" borderId="21" xfId="161" applyFont="1" applyFill="1" applyBorder="1"/>
    <xf numFmtId="169" fontId="25" fillId="0" borderId="21" xfId="104" applyNumberFormat="1" applyFont="1" applyBorder="1"/>
    <xf numFmtId="165" fontId="26" fillId="25" borderId="22" xfId="167" applyNumberFormat="1" applyFont="1" applyFill="1" applyBorder="1"/>
    <xf numFmtId="0" fontId="26" fillId="25" borderId="28" xfId="167" applyFont="1" applyFill="1" applyBorder="1" applyAlignment="1">
      <alignment wrapText="1"/>
    </xf>
    <xf numFmtId="164" fontId="37" fillId="0" borderId="21" xfId="153" applyFont="1" applyFill="1" applyBorder="1" applyAlignment="1"/>
    <xf numFmtId="0" fontId="37" fillId="0" borderId="28" xfId="0" applyFont="1" applyBorder="1"/>
    <xf numFmtId="0" fontId="37" fillId="0" borderId="21" xfId="0" applyFont="1" applyFill="1" applyBorder="1" applyAlignment="1"/>
    <xf numFmtId="0" fontId="37" fillId="0" borderId="28" xfId="0" applyFont="1" applyBorder="1" applyAlignment="1">
      <alignment wrapText="1"/>
    </xf>
    <xf numFmtId="168" fontId="26" fillId="31" borderId="21" xfId="85" applyNumberFormat="1" applyFont="1" applyFill="1" applyBorder="1"/>
    <xf numFmtId="165" fontId="37" fillId="31" borderId="21" xfId="167" applyNumberFormat="1" applyFont="1" applyFill="1" applyBorder="1"/>
    <xf numFmtId="0" fontId="26" fillId="31" borderId="28" xfId="167" applyFont="1" applyFill="1" applyBorder="1" applyAlignment="1">
      <alignment horizontal="left" wrapText="1"/>
    </xf>
    <xf numFmtId="164" fontId="37" fillId="0" borderId="21" xfId="153" applyFont="1" applyBorder="1"/>
    <xf numFmtId="164" fontId="37" fillId="31" borderId="21" xfId="153" applyFont="1" applyFill="1" applyBorder="1"/>
    <xf numFmtId="168" fontId="26" fillId="31" borderId="28" xfId="167" applyNumberFormat="1" applyFont="1" applyFill="1" applyBorder="1" applyAlignment="1">
      <alignment wrapText="1"/>
    </xf>
    <xf numFmtId="0" fontId="37" fillId="0" borderId="28" xfId="167" applyFont="1" applyBorder="1" applyAlignment="1">
      <alignment wrapText="1"/>
    </xf>
    <xf numFmtId="169" fontId="37" fillId="32" borderId="21" xfId="153" applyNumberFormat="1" applyFont="1" applyFill="1" applyBorder="1"/>
    <xf numFmtId="164" fontId="37" fillId="32" borderId="21" xfId="153" applyFont="1" applyFill="1" applyBorder="1"/>
    <xf numFmtId="0" fontId="26" fillId="32" borderId="28" xfId="167" applyFont="1" applyFill="1" applyBorder="1" applyAlignment="1">
      <alignment wrapText="1"/>
    </xf>
    <xf numFmtId="0" fontId="36" fillId="29" borderId="21" xfId="167" applyFont="1" applyFill="1" applyBorder="1" applyAlignment="1">
      <alignment horizontal="center" vertical="center" wrapText="1"/>
    </xf>
    <xf numFmtId="0" fontId="27" fillId="33" borderId="21" xfId="0" applyFont="1" applyFill="1" applyBorder="1" applyAlignment="1">
      <alignment horizontal="left" vertical="center"/>
    </xf>
    <xf numFmtId="0" fontId="27" fillId="33" borderId="21" xfId="0" applyFont="1" applyFill="1" applyBorder="1" applyAlignment="1">
      <alignment horizontal="left" vertical="center" wrapText="1"/>
    </xf>
    <xf numFmtId="168" fontId="27" fillId="33" borderId="29" xfId="167" applyNumberFormat="1" applyFont="1" applyFill="1" applyBorder="1" applyAlignment="1">
      <alignment vertical="center" wrapText="1"/>
    </xf>
    <xf numFmtId="0" fontId="27" fillId="34" borderId="21" xfId="0" applyFont="1" applyFill="1" applyBorder="1" applyAlignment="1">
      <alignment wrapText="1"/>
    </xf>
    <xf numFmtId="0" fontId="27" fillId="34" borderId="21" xfId="0" applyFont="1" applyFill="1" applyBorder="1" applyAlignment="1">
      <alignment vertical="center" wrapText="1"/>
    </xf>
    <xf numFmtId="0" fontId="20" fillId="33" borderId="21" xfId="0" applyFont="1" applyFill="1" applyBorder="1" applyAlignment="1">
      <alignment vertical="center" wrapText="1"/>
    </xf>
    <xf numFmtId="0" fontId="20" fillId="33" borderId="20" xfId="167" applyFont="1" applyFill="1" applyBorder="1" applyAlignment="1">
      <alignment vertical="center" wrapText="1"/>
    </xf>
    <xf numFmtId="168" fontId="27" fillId="33" borderId="21" xfId="167" applyNumberFormat="1" applyFont="1" applyFill="1" applyBorder="1" applyAlignment="1">
      <alignment horizontal="left" vertical="center" wrapText="1"/>
    </xf>
    <xf numFmtId="0" fontId="20" fillId="33" borderId="20" xfId="167" applyFont="1" applyFill="1" applyBorder="1" applyAlignment="1">
      <alignment horizontal="left" vertical="center" wrapText="1"/>
    </xf>
    <xf numFmtId="0" fontId="20" fillId="33" borderId="21" xfId="0" applyFont="1" applyFill="1" applyBorder="1" applyAlignment="1">
      <alignment horizontal="left" vertical="center" wrapText="1"/>
    </xf>
    <xf numFmtId="0" fontId="20" fillId="33" borderId="21" xfId="0" applyFont="1" applyFill="1" applyBorder="1" applyAlignment="1">
      <alignment vertical="center"/>
    </xf>
    <xf numFmtId="0" fontId="20" fillId="33" borderId="11" xfId="167" applyFont="1" applyFill="1" applyBorder="1" applyAlignment="1">
      <alignment vertical="center" wrapText="1"/>
    </xf>
    <xf numFmtId="0" fontId="27" fillId="34" borderId="29" xfId="167" applyFont="1" applyFill="1" applyBorder="1" applyAlignment="1">
      <alignment vertical="center" wrapText="1"/>
    </xf>
    <xf numFmtId="0" fontId="27" fillId="34" borderId="11" xfId="167" applyFont="1" applyFill="1" applyBorder="1" applyAlignment="1">
      <alignment vertical="center" wrapText="1"/>
    </xf>
    <xf numFmtId="0" fontId="27" fillId="34" borderId="21" xfId="167" applyFont="1" applyFill="1" applyBorder="1" applyAlignment="1">
      <alignment vertical="center" wrapText="1"/>
    </xf>
    <xf numFmtId="168" fontId="27" fillId="34" borderId="21" xfId="167" applyNumberFormat="1" applyFont="1" applyFill="1" applyBorder="1" applyAlignment="1">
      <alignment vertical="center" wrapText="1"/>
    </xf>
    <xf numFmtId="0" fontId="27" fillId="35" borderId="21" xfId="0" applyFont="1" applyFill="1" applyBorder="1" applyAlignment="1">
      <alignment horizontal="left" vertical="center" wrapText="1"/>
    </xf>
    <xf numFmtId="0" fontId="27" fillId="35" borderId="21" xfId="0" applyFont="1" applyFill="1" applyBorder="1" applyAlignment="1">
      <alignment vertical="center" wrapText="1"/>
    </xf>
    <xf numFmtId="0" fontId="27" fillId="35" borderId="21" xfId="0" applyFont="1" applyFill="1" applyBorder="1" applyAlignment="1">
      <alignment horizontal="left" vertical="center"/>
    </xf>
    <xf numFmtId="0" fontId="27" fillId="30" borderId="21" xfId="0" applyFont="1" applyFill="1" applyBorder="1" applyAlignment="1">
      <alignment vertical="center" wrapText="1"/>
    </xf>
    <xf numFmtId="0" fontId="27" fillId="30" borderId="21" xfId="0" applyFont="1" applyFill="1" applyBorder="1" applyAlignment="1">
      <alignment horizontal="left" vertical="center"/>
    </xf>
    <xf numFmtId="0" fontId="27" fillId="33" borderId="29" xfId="0" applyFont="1" applyFill="1" applyBorder="1" applyAlignment="1">
      <alignment vertical="center"/>
    </xf>
    <xf numFmtId="0" fontId="36" fillId="0" borderId="0" xfId="167" applyFont="1" applyAlignment="1">
      <alignment vertical="center"/>
    </xf>
    <xf numFmtId="0" fontId="27" fillId="0" borderId="0" xfId="167" applyFont="1" applyAlignment="1">
      <alignment vertical="center"/>
    </xf>
    <xf numFmtId="0" fontId="36" fillId="36" borderId="21" xfId="167" applyFont="1" applyFill="1" applyBorder="1" applyAlignment="1">
      <alignment vertical="center" wrapText="1"/>
    </xf>
    <xf numFmtId="0" fontId="36" fillId="31" borderId="21" xfId="167" applyFont="1" applyFill="1" applyBorder="1" applyAlignment="1">
      <alignment horizontal="left" vertical="center" wrapText="1"/>
    </xf>
    <xf numFmtId="0" fontId="27" fillId="0" borderId="21" xfId="0" applyFont="1" applyBorder="1" applyAlignment="1">
      <alignment horizontal="left" vertical="center"/>
    </xf>
    <xf numFmtId="0" fontId="27" fillId="0" borderId="21" xfId="0" applyFont="1" applyBorder="1" applyAlignment="1">
      <alignment horizontal="left" vertical="center" wrapText="1"/>
    </xf>
    <xf numFmtId="0" fontId="27" fillId="34" borderId="21" xfId="0" applyFont="1" applyFill="1" applyBorder="1" applyAlignment="1">
      <alignment horizontal="left" vertical="center"/>
    </xf>
    <xf numFmtId="0" fontId="27" fillId="37" borderId="11" xfId="0" applyFont="1" applyFill="1" applyBorder="1" applyAlignment="1">
      <alignment vertical="center" wrapText="1"/>
    </xf>
    <xf numFmtId="0" fontId="27" fillId="29" borderId="21" xfId="0" applyFont="1" applyFill="1" applyBorder="1" applyAlignment="1">
      <alignment horizontal="left" vertical="center" wrapText="1"/>
    </xf>
    <xf numFmtId="168" fontId="36" fillId="37" borderId="21" xfId="167" applyNumberFormat="1" applyFont="1" applyFill="1" applyBorder="1" applyAlignment="1">
      <alignment vertical="center" wrapText="1"/>
    </xf>
    <xf numFmtId="168" fontId="36" fillId="37" borderId="21" xfId="167" applyNumberFormat="1" applyFont="1" applyFill="1" applyBorder="1" applyAlignment="1">
      <alignment horizontal="center" vertical="center" wrapText="1"/>
    </xf>
    <xf numFmtId="169" fontId="27" fillId="35" borderId="21" xfId="153" applyNumberFormat="1" applyFont="1" applyFill="1" applyBorder="1" applyAlignment="1">
      <alignment vertical="center"/>
    </xf>
    <xf numFmtId="0" fontId="27" fillId="34" borderId="11" xfId="0" applyFont="1" applyFill="1" applyBorder="1" applyAlignment="1">
      <alignment wrapText="1"/>
    </xf>
    <xf numFmtId="169" fontId="27" fillId="33" borderId="21" xfId="153" applyNumberFormat="1" applyFont="1" applyFill="1" applyBorder="1" applyAlignment="1">
      <alignment vertical="center"/>
    </xf>
    <xf numFmtId="0" fontId="27" fillId="29" borderId="21" xfId="0" applyFont="1" applyFill="1" applyBorder="1" applyAlignment="1">
      <alignment vertical="center" wrapText="1"/>
    </xf>
    <xf numFmtId="0" fontId="27" fillId="33" borderId="21" xfId="0" applyFont="1" applyFill="1" applyBorder="1" applyAlignment="1">
      <alignment vertical="center" wrapText="1"/>
    </xf>
    <xf numFmtId="168" fontId="36" fillId="33" borderId="21" xfId="167" applyNumberFormat="1" applyFont="1" applyFill="1" applyBorder="1" applyAlignment="1">
      <alignment vertical="center" wrapText="1"/>
    </xf>
    <xf numFmtId="168" fontId="27" fillId="33" borderId="21" xfId="167" applyNumberFormat="1" applyFont="1" applyFill="1" applyBorder="1" applyAlignment="1">
      <alignment vertical="center" wrapText="1"/>
    </xf>
    <xf numFmtId="0" fontId="27" fillId="33" borderId="0" xfId="0" applyFont="1" applyFill="1" applyAlignment="1">
      <alignment vertical="center" wrapText="1"/>
    </xf>
    <xf numFmtId="0" fontId="27" fillId="29" borderId="21" xfId="0" applyFont="1" applyFill="1" applyBorder="1" applyAlignment="1">
      <alignment horizontal="left" vertical="center"/>
    </xf>
    <xf numFmtId="169" fontId="27" fillId="34" borderId="21" xfId="153" applyNumberFormat="1" applyFont="1" applyFill="1" applyBorder="1" applyAlignment="1">
      <alignment vertical="center"/>
    </xf>
    <xf numFmtId="168" fontId="27" fillId="35" borderId="21" xfId="167" applyNumberFormat="1" applyFont="1" applyFill="1" applyBorder="1" applyAlignment="1">
      <alignment vertical="center" wrapText="1"/>
    </xf>
    <xf numFmtId="0" fontId="36" fillId="0" borderId="0" xfId="167" applyFont="1" applyAlignment="1">
      <alignment vertical="center" wrapText="1"/>
    </xf>
    <xf numFmtId="0" fontId="42" fillId="33" borderId="21" xfId="0" applyFont="1" applyFill="1" applyBorder="1" applyAlignment="1">
      <alignment horizontal="left" vertical="center" wrapText="1"/>
    </xf>
    <xf numFmtId="0" fontId="42" fillId="33" borderId="0" xfId="0" applyFont="1" applyFill="1" applyAlignment="1">
      <alignment horizontal="left" vertical="center" wrapText="1"/>
    </xf>
    <xf numFmtId="169" fontId="27" fillId="35" borderId="21" xfId="153" applyNumberFormat="1" applyFont="1" applyFill="1" applyBorder="1" applyAlignment="1">
      <alignment horizontal="left" vertical="center" wrapText="1"/>
    </xf>
    <xf numFmtId="0" fontId="27" fillId="35" borderId="29" xfId="0" applyFont="1" applyFill="1" applyBorder="1" applyAlignment="1">
      <alignment horizontal="left" vertical="center" wrapText="1"/>
    </xf>
    <xf numFmtId="0" fontId="27" fillId="34" borderId="21" xfId="167" applyFont="1" applyFill="1" applyBorder="1" applyAlignment="1">
      <alignment horizontal="left" vertical="center" wrapText="1"/>
    </xf>
    <xf numFmtId="0" fontId="36" fillId="36" borderId="21" xfId="167" applyFont="1" applyFill="1" applyBorder="1" applyAlignment="1">
      <alignment horizontal="center" vertical="center" wrapText="1"/>
    </xf>
    <xf numFmtId="0" fontId="36" fillId="33" borderId="20" xfId="167" applyFont="1" applyFill="1" applyBorder="1" applyAlignment="1">
      <alignment horizontal="center" vertical="center" wrapText="1"/>
    </xf>
    <xf numFmtId="0" fontId="27" fillId="33" borderId="29" xfId="0" applyFont="1" applyFill="1" applyBorder="1" applyAlignment="1">
      <alignment horizontal="left" vertical="center" wrapText="1"/>
    </xf>
    <xf numFmtId="0" fontId="27" fillId="33" borderId="11" xfId="0" applyFont="1" applyFill="1" applyBorder="1" applyAlignment="1">
      <alignment horizontal="left" vertical="center" wrapText="1"/>
    </xf>
    <xf numFmtId="0" fontId="27" fillId="34" borderId="29" xfId="0" applyFont="1" applyFill="1" applyBorder="1" applyAlignment="1">
      <alignment horizontal="left" vertical="center" wrapText="1"/>
    </xf>
    <xf numFmtId="0" fontId="27" fillId="34" borderId="11" xfId="0" applyFont="1" applyFill="1" applyBorder="1" applyAlignment="1">
      <alignment horizontal="left" vertical="center" wrapText="1"/>
    </xf>
    <xf numFmtId="0" fontId="27" fillId="34" borderId="11" xfId="0" applyFont="1" applyFill="1" applyBorder="1" applyAlignment="1">
      <alignment horizontal="left" vertical="center"/>
    </xf>
    <xf numFmtId="0" fontId="27" fillId="33" borderId="11" xfId="0" applyFont="1" applyFill="1" applyBorder="1" applyAlignment="1">
      <alignment horizontal="left" vertical="center"/>
    </xf>
    <xf numFmtId="169" fontId="27" fillId="33" borderId="11" xfId="153" applyNumberFormat="1" applyFont="1" applyFill="1" applyBorder="1" applyAlignment="1">
      <alignment horizontal="center" vertical="center"/>
    </xf>
    <xf numFmtId="168" fontId="27" fillId="34" borderId="11" xfId="167" applyNumberFormat="1" applyFont="1" applyFill="1" applyBorder="1" applyAlignment="1">
      <alignment vertical="center" wrapText="1"/>
    </xf>
    <xf numFmtId="0" fontId="27" fillId="33" borderId="11" xfId="0" applyFont="1" applyFill="1" applyBorder="1" applyAlignment="1">
      <alignment vertical="center" wrapText="1"/>
    </xf>
    <xf numFmtId="0" fontId="27" fillId="34" borderId="21" xfId="0" applyFont="1" applyFill="1" applyBorder="1" applyAlignment="1">
      <alignment horizontal="left" vertical="center" wrapText="1"/>
    </xf>
    <xf numFmtId="3" fontId="27" fillId="35" borderId="21" xfId="0" applyNumberFormat="1" applyFont="1" applyFill="1" applyBorder="1" applyAlignment="1">
      <alignment vertical="center"/>
    </xf>
    <xf numFmtId="0" fontId="27" fillId="0" borderId="0" xfId="0" applyFont="1"/>
    <xf numFmtId="170" fontId="27" fillId="34" borderId="21" xfId="118" applyNumberFormat="1" applyFont="1" applyFill="1" applyBorder="1" applyAlignment="1">
      <alignment vertical="center"/>
    </xf>
    <xf numFmtId="0" fontId="27" fillId="35" borderId="21" xfId="167" applyFont="1" applyFill="1" applyBorder="1" applyAlignment="1">
      <alignment horizontal="left" wrapText="1"/>
    </xf>
    <xf numFmtId="0" fontId="27" fillId="35" borderId="21" xfId="167" applyFont="1" applyFill="1" applyBorder="1" applyAlignment="1">
      <alignment horizontal="left" vertical="center" wrapText="1"/>
    </xf>
    <xf numFmtId="0" fontId="27" fillId="35" borderId="21" xfId="167" applyFont="1" applyFill="1" applyBorder="1" applyAlignment="1">
      <alignment vertical="center" wrapText="1"/>
    </xf>
    <xf numFmtId="164" fontId="27" fillId="0" borderId="0" xfId="0" applyNumberFormat="1" applyFont="1"/>
    <xf numFmtId="170" fontId="27" fillId="33" borderId="21" xfId="118" applyNumberFormat="1" applyFont="1" applyFill="1" applyBorder="1" applyAlignment="1">
      <alignment vertical="center"/>
    </xf>
    <xf numFmtId="0" fontId="27" fillId="0" borderId="0" xfId="0" applyFont="1" applyFill="1"/>
    <xf numFmtId="170" fontId="27" fillId="33" borderId="11" xfId="118" applyNumberFormat="1" applyFont="1" applyFill="1" applyBorder="1" applyAlignment="1">
      <alignment vertical="center"/>
    </xf>
    <xf numFmtId="168" fontId="36" fillId="37" borderId="21" xfId="167" applyNumberFormat="1" applyFont="1" applyFill="1" applyBorder="1" applyAlignment="1">
      <alignment horizontal="left" vertical="center" wrapText="1"/>
    </xf>
    <xf numFmtId="0" fontId="27" fillId="38" borderId="21" xfId="0" applyFont="1" applyFill="1" applyBorder="1" applyAlignment="1">
      <alignment vertical="center"/>
    </xf>
    <xf numFmtId="0" fontId="27" fillId="38" borderId="21" xfId="0" applyFont="1" applyFill="1" applyBorder="1" applyAlignment="1">
      <alignment vertical="center" wrapText="1"/>
    </xf>
    <xf numFmtId="169" fontId="36" fillId="38" borderId="21" xfId="0" applyNumberFormat="1" applyFont="1" applyFill="1" applyBorder="1" applyAlignment="1">
      <alignment vertical="center"/>
    </xf>
    <xf numFmtId="169" fontId="27" fillId="0" borderId="0" xfId="153" applyNumberFormat="1" applyFont="1"/>
    <xf numFmtId="0" fontId="27" fillId="0" borderId="21" xfId="0" applyFont="1" applyBorder="1" applyAlignment="1">
      <alignment vertical="center"/>
    </xf>
    <xf numFmtId="0" fontId="27" fillId="0" borderId="21" xfId="0" applyFont="1" applyBorder="1" applyAlignment="1">
      <alignment vertical="center" wrapText="1"/>
    </xf>
    <xf numFmtId="169" fontId="27" fillId="0" borderId="21" xfId="0" applyNumberFormat="1" applyFont="1" applyBorder="1" applyAlignment="1">
      <alignment vertical="center"/>
    </xf>
    <xf numFmtId="0" fontId="36" fillId="38" borderId="21" xfId="0" applyFont="1" applyFill="1" applyBorder="1" applyAlignment="1">
      <alignment vertical="center"/>
    </xf>
    <xf numFmtId="0" fontId="36" fillId="39" borderId="21" xfId="0" applyFont="1" applyFill="1" applyBorder="1" applyAlignment="1">
      <alignment vertical="center"/>
    </xf>
    <xf numFmtId="0" fontId="36" fillId="39" borderId="21" xfId="0" applyFont="1" applyFill="1" applyBorder="1" applyAlignment="1">
      <alignment vertical="center" wrapText="1"/>
    </xf>
    <xf numFmtId="170" fontId="27" fillId="34" borderId="21" xfId="0" applyNumberFormat="1" applyFont="1" applyFill="1" applyBorder="1" applyAlignment="1">
      <alignment vertical="center"/>
    </xf>
    <xf numFmtId="169" fontId="27" fillId="35" borderId="21" xfId="0" applyNumberFormat="1" applyFont="1" applyFill="1" applyBorder="1" applyAlignment="1">
      <alignment vertical="center"/>
    </xf>
    <xf numFmtId="170" fontId="27" fillId="33" borderId="21" xfId="0" applyNumberFormat="1" applyFont="1" applyFill="1" applyBorder="1" applyAlignment="1">
      <alignment vertical="center" wrapText="1"/>
    </xf>
    <xf numFmtId="170" fontId="27" fillId="0" borderId="21" xfId="0" applyNumberFormat="1" applyFont="1" applyBorder="1" applyAlignment="1">
      <alignment vertical="center"/>
    </xf>
    <xf numFmtId="0" fontId="43" fillId="40" borderId="21" xfId="0" applyFont="1" applyFill="1" applyBorder="1" applyAlignment="1">
      <alignment vertical="center"/>
    </xf>
    <xf numFmtId="170" fontId="43" fillId="40" borderId="21" xfId="0" applyNumberFormat="1" applyFont="1" applyFill="1" applyBorder="1" applyAlignment="1">
      <alignment vertical="center"/>
    </xf>
    <xf numFmtId="170" fontId="43" fillId="40" borderId="21" xfId="0" applyNumberFormat="1" applyFont="1" applyFill="1" applyBorder="1" applyAlignment="1">
      <alignment vertical="center" wrapText="1"/>
    </xf>
    <xf numFmtId="170" fontId="43" fillId="0" borderId="21" xfId="0" applyNumberFormat="1" applyFont="1" applyBorder="1" applyAlignment="1">
      <alignment vertical="center"/>
    </xf>
    <xf numFmtId="169" fontId="27" fillId="0" borderId="21" xfId="0" applyNumberFormat="1" applyFont="1" applyBorder="1" applyAlignment="1">
      <alignment vertical="center" wrapText="1"/>
    </xf>
    <xf numFmtId="0" fontId="27" fillId="0" borderId="0" xfId="0" applyFont="1" applyAlignment="1">
      <alignment vertical="center"/>
    </xf>
    <xf numFmtId="0" fontId="27" fillId="0" borderId="0" xfId="0" applyFont="1" applyAlignment="1">
      <alignment vertical="center" wrapText="1"/>
    </xf>
    <xf numFmtId="0" fontId="36" fillId="0" borderId="0" xfId="0" applyFont="1" applyFill="1" applyBorder="1" applyAlignment="1">
      <alignment vertical="center"/>
    </xf>
    <xf numFmtId="170" fontId="27" fillId="0" borderId="21" xfId="0" applyNumberFormat="1" applyFont="1" applyBorder="1" applyAlignment="1">
      <alignment vertical="center" wrapText="1"/>
    </xf>
    <xf numFmtId="0" fontId="36" fillId="0" borderId="21" xfId="0" applyFont="1" applyBorder="1" applyAlignment="1">
      <alignment vertical="center"/>
    </xf>
    <xf numFmtId="170" fontId="36" fillId="0" borderId="21" xfId="0" applyNumberFormat="1" applyFont="1" applyBorder="1" applyAlignment="1">
      <alignment vertical="center"/>
    </xf>
    <xf numFmtId="170" fontId="36" fillId="0" borderId="21" xfId="0" applyNumberFormat="1" applyFont="1" applyBorder="1" applyAlignment="1">
      <alignment vertical="center" wrapText="1"/>
    </xf>
    <xf numFmtId="169" fontId="36" fillId="27" borderId="30" xfId="153" applyNumberFormat="1" applyFont="1" applyFill="1" applyBorder="1" applyAlignment="1">
      <alignment vertical="center" wrapText="1"/>
    </xf>
    <xf numFmtId="169" fontId="36" fillId="27" borderId="30" xfId="153" applyNumberFormat="1" applyFont="1" applyFill="1" applyBorder="1" applyAlignment="1">
      <alignment horizontal="center" vertical="center"/>
    </xf>
    <xf numFmtId="169" fontId="36" fillId="27" borderId="30" xfId="153" applyNumberFormat="1" applyFont="1" applyFill="1" applyBorder="1" applyAlignment="1">
      <alignment horizontal="center" vertical="center" wrapText="1"/>
    </xf>
    <xf numFmtId="0" fontId="36" fillId="25" borderId="21" xfId="167" applyFont="1" applyFill="1" applyBorder="1" applyAlignment="1">
      <alignment vertical="center" wrapText="1"/>
    </xf>
    <xf numFmtId="0" fontId="36" fillId="25" borderId="21" xfId="167" applyFont="1" applyFill="1" applyBorder="1" applyAlignment="1">
      <alignment horizontal="center" vertical="center" wrapText="1"/>
    </xf>
    <xf numFmtId="165" fontId="36" fillId="25" borderId="21" xfId="167" applyNumberFormat="1" applyFont="1" applyFill="1" applyBorder="1" applyAlignment="1">
      <alignment horizontal="center" vertical="center"/>
    </xf>
    <xf numFmtId="168" fontId="36" fillId="25" borderId="21" xfId="167" applyNumberFormat="1" applyFont="1" applyFill="1" applyBorder="1" applyAlignment="1">
      <alignment horizontal="center" vertical="center" wrapText="1"/>
    </xf>
    <xf numFmtId="169" fontId="27" fillId="0" borderId="21" xfId="153" applyNumberFormat="1" applyFont="1" applyFill="1" applyBorder="1" applyAlignment="1">
      <alignment vertical="center"/>
    </xf>
    <xf numFmtId="169" fontId="27" fillId="34" borderId="21" xfId="0" applyNumberFormat="1" applyFont="1" applyFill="1" applyBorder="1" applyAlignment="1">
      <alignment vertical="center"/>
    </xf>
    <xf numFmtId="169" fontId="27" fillId="35" borderId="21" xfId="0" applyNumberFormat="1" applyFont="1" applyFill="1" applyBorder="1" applyAlignment="1">
      <alignment vertical="center" wrapText="1"/>
    </xf>
    <xf numFmtId="169" fontId="27" fillId="33" borderId="21" xfId="0" applyNumberFormat="1" applyFont="1" applyFill="1" applyBorder="1" applyAlignment="1">
      <alignment vertical="center"/>
    </xf>
    <xf numFmtId="168" fontId="36" fillId="31" borderId="21" xfId="85" applyNumberFormat="1" applyFont="1" applyFill="1" applyBorder="1" applyAlignment="1">
      <alignment horizontal="right" vertical="center"/>
    </xf>
    <xf numFmtId="168" fontId="36" fillId="31" borderId="21" xfId="85" applyNumberFormat="1" applyFont="1" applyFill="1" applyBorder="1" applyAlignment="1">
      <alignment horizontal="right" vertical="center" wrapText="1"/>
    </xf>
    <xf numFmtId="0" fontId="36" fillId="0" borderId="0" xfId="0" applyFont="1" applyAlignment="1">
      <alignment vertical="center"/>
    </xf>
    <xf numFmtId="0" fontId="27" fillId="0" borderId="0" xfId="0" applyFont="1" applyAlignment="1">
      <alignment horizontal="left" vertical="center" wrapText="1"/>
    </xf>
    <xf numFmtId="170" fontId="27" fillId="29" borderId="21" xfId="118" applyNumberFormat="1" applyFont="1" applyFill="1" applyBorder="1" applyAlignment="1">
      <alignment vertical="center"/>
    </xf>
    <xf numFmtId="170" fontId="27" fillId="34" borderId="11" xfId="118" applyNumberFormat="1" applyFont="1" applyFill="1" applyBorder="1" applyAlignment="1">
      <alignment vertical="center"/>
    </xf>
    <xf numFmtId="168" fontId="27" fillId="29" borderId="21" xfId="167" applyNumberFormat="1" applyFont="1" applyFill="1" applyBorder="1" applyAlignment="1">
      <alignment vertical="center" wrapText="1"/>
    </xf>
    <xf numFmtId="169" fontId="27" fillId="0" borderId="21" xfId="153" applyNumberFormat="1" applyFont="1" applyBorder="1" applyAlignment="1">
      <alignment vertical="center"/>
    </xf>
    <xf numFmtId="170" fontId="27" fillId="33" borderId="21" xfId="0" applyNumberFormat="1" applyFont="1" applyFill="1" applyBorder="1" applyAlignment="1">
      <alignment vertical="center"/>
    </xf>
    <xf numFmtId="169" fontId="43" fillId="40" borderId="21" xfId="0" applyNumberFormat="1" applyFont="1" applyFill="1" applyBorder="1" applyAlignment="1">
      <alignment vertical="center"/>
    </xf>
    <xf numFmtId="169" fontId="27" fillId="0" borderId="0" xfId="0" applyNumberFormat="1" applyFont="1"/>
    <xf numFmtId="170" fontId="36" fillId="34" borderId="21" xfId="0" applyNumberFormat="1" applyFont="1" applyFill="1" applyBorder="1" applyAlignment="1">
      <alignment vertical="center"/>
    </xf>
    <xf numFmtId="169" fontId="36" fillId="41" borderId="0" xfId="153" applyNumberFormat="1" applyFont="1" applyFill="1" applyBorder="1" applyAlignment="1">
      <alignment vertical="center"/>
    </xf>
    <xf numFmtId="168" fontId="36" fillId="25" borderId="21" xfId="167" applyNumberFormat="1" applyFont="1" applyFill="1" applyBorder="1" applyAlignment="1">
      <alignment horizontal="center" vertical="center"/>
    </xf>
    <xf numFmtId="0" fontId="27" fillId="41" borderId="0" xfId="0" applyFont="1" applyFill="1"/>
    <xf numFmtId="0" fontId="42" fillId="33" borderId="29" xfId="0" applyFont="1" applyFill="1" applyBorder="1" applyAlignment="1">
      <alignment vertical="center" wrapText="1"/>
    </xf>
    <xf numFmtId="49" fontId="27" fillId="35" borderId="21" xfId="167" applyNumberFormat="1" applyFont="1" applyFill="1" applyBorder="1" applyAlignment="1">
      <alignment vertical="center" wrapText="1"/>
    </xf>
    <xf numFmtId="169" fontId="27" fillId="33" borderId="21" xfId="0" applyNumberFormat="1" applyFont="1" applyFill="1" applyBorder="1" applyAlignment="1">
      <alignment vertical="center" wrapText="1"/>
    </xf>
    <xf numFmtId="170" fontId="36" fillId="35" borderId="21" xfId="0" applyNumberFormat="1" applyFont="1" applyFill="1" applyBorder="1" applyAlignment="1">
      <alignment vertical="center"/>
    </xf>
    <xf numFmtId="170" fontId="36" fillId="33" borderId="21" xfId="0" applyNumberFormat="1" applyFont="1" applyFill="1" applyBorder="1" applyAlignment="1">
      <alignment vertical="center" wrapText="1"/>
    </xf>
    <xf numFmtId="170" fontId="27" fillId="35" borderId="29" xfId="118" applyNumberFormat="1" applyFont="1" applyFill="1" applyBorder="1" applyAlignment="1">
      <alignment vertical="center"/>
    </xf>
    <xf numFmtId="0" fontId="27" fillId="30" borderId="21" xfId="167" applyFont="1" applyFill="1" applyBorder="1" applyAlignment="1">
      <alignment vertical="center" wrapText="1"/>
    </xf>
    <xf numFmtId="170" fontId="27" fillId="30" borderId="21" xfId="118" applyNumberFormat="1" applyFont="1" applyFill="1" applyBorder="1" applyAlignment="1">
      <alignment vertical="center"/>
    </xf>
    <xf numFmtId="168" fontId="27" fillId="30" borderId="21" xfId="167" applyNumberFormat="1" applyFont="1" applyFill="1" applyBorder="1" applyAlignment="1">
      <alignment vertical="center" wrapText="1"/>
    </xf>
    <xf numFmtId="168" fontId="27" fillId="0" borderId="0" xfId="0" applyNumberFormat="1" applyFont="1"/>
    <xf numFmtId="170" fontId="36" fillId="33" borderId="21" xfId="0" applyNumberFormat="1" applyFont="1" applyFill="1" applyBorder="1" applyAlignment="1">
      <alignment vertical="center"/>
    </xf>
    <xf numFmtId="0" fontId="36" fillId="0" borderId="0" xfId="0" applyFont="1" applyBorder="1" applyAlignment="1">
      <alignment vertical="center"/>
    </xf>
    <xf numFmtId="0" fontId="36" fillId="0" borderId="0" xfId="0" applyFont="1" applyBorder="1"/>
    <xf numFmtId="169" fontId="36" fillId="27" borderId="30" xfId="153" applyNumberFormat="1" applyFont="1" applyFill="1" applyBorder="1" applyAlignment="1">
      <alignment vertical="center"/>
    </xf>
    <xf numFmtId="0" fontId="36" fillId="41" borderId="0" xfId="0" applyFont="1" applyFill="1" applyBorder="1"/>
    <xf numFmtId="0" fontId="27" fillId="35" borderId="21" xfId="0" applyFont="1" applyFill="1" applyBorder="1" applyAlignment="1">
      <alignment vertical="center"/>
    </xf>
    <xf numFmtId="168" fontId="36" fillId="38" borderId="21" xfId="0" applyNumberFormat="1" applyFont="1" applyFill="1" applyBorder="1" applyAlignment="1">
      <alignment vertical="center"/>
    </xf>
    <xf numFmtId="170" fontId="27" fillId="35" borderId="21" xfId="118" applyNumberFormat="1" applyFont="1" applyFill="1" applyBorder="1" applyAlignment="1">
      <alignment vertical="center"/>
    </xf>
    <xf numFmtId="3" fontId="36" fillId="38" borderId="21" xfId="0" applyNumberFormat="1" applyFont="1" applyFill="1" applyBorder="1" applyAlignment="1">
      <alignment vertical="center"/>
    </xf>
    <xf numFmtId="169" fontId="27" fillId="0" borderId="0" xfId="153" applyNumberFormat="1" applyFont="1" applyAlignment="1">
      <alignment vertical="center"/>
    </xf>
    <xf numFmtId="3" fontId="27" fillId="0" borderId="21" xfId="0" applyNumberFormat="1" applyFont="1" applyBorder="1" applyAlignment="1">
      <alignment vertical="center"/>
    </xf>
    <xf numFmtId="168" fontId="27" fillId="0" borderId="0" xfId="0" applyNumberFormat="1" applyFont="1" applyAlignment="1">
      <alignment vertical="center"/>
    </xf>
    <xf numFmtId="0" fontId="27" fillId="33" borderId="0" xfId="0" applyFont="1" applyFill="1" applyAlignment="1">
      <alignment horizontal="left" vertical="center" wrapText="1"/>
    </xf>
    <xf numFmtId="0" fontId="27" fillId="0" borderId="21" xfId="0" applyFont="1" applyBorder="1"/>
    <xf numFmtId="0" fontId="36" fillId="25" borderId="21" xfId="167" applyFont="1" applyFill="1" applyBorder="1" applyAlignment="1">
      <alignment wrapText="1"/>
    </xf>
    <xf numFmtId="169" fontId="27" fillId="0" borderId="21" xfId="153" applyNumberFormat="1" applyFont="1" applyFill="1" applyBorder="1" applyAlignment="1"/>
    <xf numFmtId="0" fontId="27" fillId="0" borderId="21" xfId="0" applyFont="1" applyBorder="1" applyAlignment="1">
      <alignment wrapText="1"/>
    </xf>
    <xf numFmtId="0" fontId="36" fillId="31" borderId="21" xfId="167" applyFont="1" applyFill="1" applyBorder="1" applyAlignment="1">
      <alignment horizontal="left" wrapText="1"/>
    </xf>
    <xf numFmtId="168" fontId="36" fillId="31" borderId="21" xfId="85" applyNumberFormat="1" applyFont="1" applyFill="1" applyBorder="1" applyAlignment="1">
      <alignment horizontal="right"/>
    </xf>
    <xf numFmtId="0" fontId="43" fillId="35" borderId="21" xfId="0" applyFont="1" applyFill="1" applyBorder="1" applyAlignment="1">
      <alignment vertical="center"/>
    </xf>
    <xf numFmtId="170" fontId="43" fillId="34" borderId="21" xfId="0" applyNumberFormat="1" applyFont="1" applyFill="1" applyBorder="1" applyAlignment="1">
      <alignment vertical="center"/>
    </xf>
    <xf numFmtId="170" fontId="43" fillId="35" borderId="21" xfId="0" applyNumberFormat="1" applyFont="1" applyFill="1" applyBorder="1" applyAlignment="1">
      <alignment vertical="center"/>
    </xf>
    <xf numFmtId="0" fontId="27" fillId="40" borderId="21" xfId="167" applyFont="1" applyFill="1" applyBorder="1" applyAlignment="1">
      <alignment horizontal="left" vertical="center" wrapText="1"/>
    </xf>
    <xf numFmtId="168" fontId="27" fillId="40" borderId="21" xfId="85" applyNumberFormat="1" applyFont="1" applyFill="1" applyBorder="1" applyAlignment="1">
      <alignment vertical="center"/>
    </xf>
    <xf numFmtId="168" fontId="27" fillId="30" borderId="21" xfId="167" applyNumberFormat="1" applyFont="1" applyFill="1" applyBorder="1" applyAlignment="1">
      <alignment horizontal="center" vertical="center" wrapText="1"/>
    </xf>
    <xf numFmtId="169" fontId="36" fillId="38" borderId="21" xfId="153" applyNumberFormat="1" applyFont="1" applyFill="1" applyBorder="1" applyAlignment="1">
      <alignment vertical="center"/>
    </xf>
    <xf numFmtId="169" fontId="36" fillId="34" borderId="21" xfId="0" applyNumberFormat="1" applyFont="1" applyFill="1" applyBorder="1" applyAlignment="1">
      <alignment vertical="center"/>
    </xf>
    <xf numFmtId="0" fontId="27" fillId="0" borderId="0" xfId="167" applyFont="1" applyAlignment="1">
      <alignment vertical="center" wrapText="1"/>
    </xf>
    <xf numFmtId="169" fontId="27" fillId="33" borderId="21" xfId="153" applyNumberFormat="1" applyFont="1" applyFill="1" applyBorder="1" applyAlignment="1">
      <alignment vertical="center" wrapText="1"/>
    </xf>
    <xf numFmtId="170" fontId="27" fillId="34" borderId="11" xfId="118" applyNumberFormat="1" applyFont="1" applyFill="1" applyBorder="1" applyAlignment="1">
      <alignment vertical="center" wrapText="1"/>
    </xf>
    <xf numFmtId="170" fontId="27" fillId="34" borderId="21" xfId="118" applyNumberFormat="1" applyFont="1" applyFill="1" applyBorder="1" applyAlignment="1">
      <alignment vertical="center" wrapText="1"/>
    </xf>
    <xf numFmtId="170" fontId="27" fillId="34" borderId="29" xfId="118" applyNumberFormat="1" applyFont="1" applyFill="1" applyBorder="1" applyAlignment="1">
      <alignment vertical="center" wrapText="1"/>
    </xf>
    <xf numFmtId="170" fontId="27" fillId="33" borderId="21" xfId="118" applyNumberFormat="1" applyFont="1" applyFill="1" applyBorder="1" applyAlignment="1">
      <alignment vertical="center" wrapText="1"/>
    </xf>
    <xf numFmtId="0" fontId="36" fillId="38" borderId="21" xfId="0" applyFont="1" applyFill="1" applyBorder="1" applyAlignment="1">
      <alignment vertical="center" wrapText="1"/>
    </xf>
    <xf numFmtId="169" fontId="36" fillId="38" borderId="21" xfId="0" applyNumberFormat="1" applyFont="1" applyFill="1" applyBorder="1" applyAlignment="1">
      <alignment vertical="center" wrapText="1"/>
    </xf>
    <xf numFmtId="169" fontId="27" fillId="0" borderId="0" xfId="153" applyNumberFormat="1" applyFont="1" applyAlignment="1">
      <alignment vertical="center" wrapText="1"/>
    </xf>
    <xf numFmtId="170" fontId="27" fillId="34" borderId="21" xfId="0" applyNumberFormat="1" applyFont="1" applyFill="1" applyBorder="1" applyAlignment="1">
      <alignment vertical="center" wrapText="1"/>
    </xf>
    <xf numFmtId="0" fontId="43" fillId="40" borderId="21" xfId="0" applyFont="1" applyFill="1" applyBorder="1" applyAlignment="1">
      <alignment vertical="center" wrapText="1"/>
    </xf>
    <xf numFmtId="168" fontId="27" fillId="0" borderId="0" xfId="0" applyNumberFormat="1" applyFont="1" applyAlignment="1">
      <alignment vertical="center" wrapText="1"/>
    </xf>
    <xf numFmtId="169" fontId="27" fillId="34" borderId="21" xfId="0" applyNumberFormat="1" applyFont="1" applyFill="1" applyBorder="1" applyAlignment="1">
      <alignment vertical="center" wrapText="1"/>
    </xf>
    <xf numFmtId="0" fontId="36" fillId="0" borderId="21" xfId="0" applyFont="1" applyBorder="1" applyAlignment="1">
      <alignment vertical="center" wrapText="1"/>
    </xf>
    <xf numFmtId="170" fontId="36" fillId="34" borderId="21" xfId="0" applyNumberFormat="1" applyFont="1" applyFill="1" applyBorder="1" applyAlignment="1">
      <alignment vertical="center" wrapText="1"/>
    </xf>
    <xf numFmtId="170" fontId="36" fillId="35" borderId="21" xfId="0" applyNumberFormat="1" applyFont="1" applyFill="1" applyBorder="1" applyAlignment="1">
      <alignment vertical="center" wrapText="1"/>
    </xf>
    <xf numFmtId="0" fontId="36" fillId="0" borderId="0" xfId="0" applyFont="1" applyAlignment="1">
      <alignment vertical="center" wrapText="1"/>
    </xf>
    <xf numFmtId="164" fontId="27" fillId="0" borderId="21" xfId="0" applyNumberFormat="1" applyFont="1" applyBorder="1" applyAlignment="1">
      <alignment vertical="center" wrapText="1"/>
    </xf>
    <xf numFmtId="170" fontId="36" fillId="39" borderId="21" xfId="0" applyNumberFormat="1" applyFont="1" applyFill="1" applyBorder="1" applyAlignment="1">
      <alignment vertical="center" wrapText="1"/>
    </xf>
    <xf numFmtId="165" fontId="36" fillId="25" borderId="21" xfId="167" applyNumberFormat="1" applyFont="1" applyFill="1" applyBorder="1" applyAlignment="1">
      <alignment horizontal="center" vertical="center" wrapText="1"/>
    </xf>
    <xf numFmtId="169" fontId="27" fillId="0" borderId="21" xfId="153" applyNumberFormat="1" applyFont="1" applyFill="1" applyBorder="1" applyAlignment="1">
      <alignment vertical="center" wrapText="1"/>
    </xf>
    <xf numFmtId="0" fontId="27" fillId="29" borderId="21" xfId="167" applyFont="1" applyFill="1" applyBorder="1" applyAlignment="1">
      <alignment horizontal="center" vertical="center" wrapText="1"/>
    </xf>
    <xf numFmtId="170" fontId="27" fillId="29" borderId="21" xfId="118" applyNumberFormat="1" applyFont="1" applyFill="1" applyBorder="1" applyAlignment="1">
      <alignment vertical="center" wrapText="1"/>
    </xf>
    <xf numFmtId="170" fontId="36" fillId="39" borderId="21" xfId="0" applyNumberFormat="1" applyFont="1" applyFill="1" applyBorder="1" applyAlignment="1">
      <alignment vertical="center"/>
    </xf>
    <xf numFmtId="0" fontId="27" fillId="34" borderId="11" xfId="0" applyFont="1" applyFill="1" applyBorder="1" applyAlignment="1">
      <alignment vertical="center" wrapText="1"/>
    </xf>
    <xf numFmtId="0" fontId="36" fillId="39" borderId="21" xfId="0" applyFont="1" applyFill="1" applyBorder="1" applyAlignment="1">
      <alignment horizontal="center" vertical="center"/>
    </xf>
    <xf numFmtId="170" fontId="27" fillId="0" borderId="0" xfId="0" applyNumberFormat="1" applyFont="1" applyFill="1" applyBorder="1" applyAlignment="1">
      <alignment vertical="center"/>
    </xf>
    <xf numFmtId="169" fontId="27"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170" fontId="36" fillId="38" borderId="21" xfId="0" applyNumberFormat="1" applyFont="1" applyFill="1" applyBorder="1" applyAlignment="1">
      <alignment vertical="center"/>
    </xf>
    <xf numFmtId="3" fontId="27" fillId="33" borderId="21" xfId="0" applyNumberFormat="1" applyFont="1" applyFill="1" applyBorder="1" applyAlignment="1">
      <alignment vertical="center" wrapText="1"/>
    </xf>
    <xf numFmtId="169" fontId="43" fillId="35" borderId="21" xfId="0" applyNumberFormat="1" applyFont="1" applyFill="1" applyBorder="1" applyAlignment="1">
      <alignment vertical="center"/>
    </xf>
    <xf numFmtId="170" fontId="43" fillId="33" borderId="21" xfId="0" applyNumberFormat="1" applyFont="1" applyFill="1" applyBorder="1" applyAlignment="1">
      <alignment vertical="center"/>
    </xf>
    <xf numFmtId="170" fontId="27" fillId="0" borderId="0" xfId="0" applyNumberFormat="1" applyFont="1" applyAlignment="1">
      <alignment vertical="center"/>
    </xf>
    <xf numFmtId="0" fontId="36" fillId="42" borderId="21" xfId="0" applyFont="1" applyFill="1" applyBorder="1" applyAlignment="1">
      <alignment vertical="center"/>
    </xf>
    <xf numFmtId="170" fontId="36" fillId="42" borderId="21" xfId="0" applyNumberFormat="1" applyFont="1" applyFill="1" applyBorder="1" applyAlignment="1">
      <alignment vertical="center"/>
    </xf>
    <xf numFmtId="169" fontId="36" fillId="27" borderId="30" xfId="0" applyNumberFormat="1" applyFont="1" applyFill="1" applyBorder="1" applyAlignment="1">
      <alignment horizontal="center" vertical="center"/>
    </xf>
    <xf numFmtId="168" fontId="27" fillId="30" borderId="29" xfId="167" applyNumberFormat="1" applyFont="1" applyFill="1" applyBorder="1" applyAlignment="1">
      <alignment vertical="center" wrapText="1"/>
    </xf>
    <xf numFmtId="0" fontId="27" fillId="0" borderId="0" xfId="161" applyFont="1"/>
    <xf numFmtId="0" fontId="27" fillId="0" borderId="0" xfId="161" applyFont="1" applyBorder="1"/>
    <xf numFmtId="0" fontId="36" fillId="27" borderId="31" xfId="161" applyFont="1" applyFill="1" applyBorder="1" applyAlignment="1">
      <alignment horizontal="center" vertical="center"/>
    </xf>
    <xf numFmtId="0" fontId="36" fillId="27" borderId="21" xfId="161" applyFont="1" applyFill="1" applyBorder="1" applyAlignment="1">
      <alignment horizontal="center" vertical="center"/>
    </xf>
    <xf numFmtId="0" fontId="36" fillId="27" borderId="22" xfId="161" applyFont="1" applyFill="1" applyBorder="1" applyAlignment="1">
      <alignment horizontal="center" vertical="center"/>
    </xf>
    <xf numFmtId="0" fontId="36" fillId="27" borderId="32" xfId="161" applyFont="1" applyFill="1" applyBorder="1" applyAlignment="1">
      <alignment horizontal="center" vertical="center"/>
    </xf>
    <xf numFmtId="0" fontId="44" fillId="27" borderId="31" xfId="161" applyFont="1" applyFill="1" applyBorder="1" applyAlignment="1">
      <alignment horizontal="center" vertical="center"/>
    </xf>
    <xf numFmtId="0" fontId="44" fillId="27" borderId="21" xfId="161" applyFont="1" applyFill="1" applyBorder="1" applyAlignment="1">
      <alignment horizontal="center" vertical="center"/>
    </xf>
    <xf numFmtId="0" fontId="44" fillId="27" borderId="32" xfId="161" applyFont="1" applyFill="1" applyBorder="1" applyAlignment="1">
      <alignment horizontal="center" vertical="center"/>
    </xf>
    <xf numFmtId="0" fontId="45" fillId="43" borderId="22" xfId="161" applyFont="1" applyFill="1" applyBorder="1" applyAlignment="1">
      <alignment vertical="center"/>
    </xf>
    <xf numFmtId="169" fontId="45" fillId="43" borderId="31" xfId="161" applyNumberFormat="1" applyFont="1" applyFill="1" applyBorder="1" applyAlignment="1">
      <alignment horizontal="right" vertical="center"/>
    </xf>
    <xf numFmtId="169" fontId="45" fillId="43" borderId="21" xfId="161" applyNumberFormat="1" applyFont="1" applyFill="1" applyBorder="1" applyAlignment="1">
      <alignment horizontal="right" vertical="center"/>
    </xf>
    <xf numFmtId="169" fontId="45" fillId="43" borderId="32" xfId="161" applyNumberFormat="1" applyFont="1" applyFill="1" applyBorder="1" applyAlignment="1">
      <alignment horizontal="right" vertical="center"/>
    </xf>
    <xf numFmtId="169" fontId="45" fillId="43" borderId="31" xfId="161" applyNumberFormat="1" applyFont="1" applyFill="1" applyBorder="1" applyAlignment="1">
      <alignment vertical="center"/>
    </xf>
    <xf numFmtId="169" fontId="44" fillId="43" borderId="31" xfId="161" applyNumberFormat="1" applyFont="1" applyFill="1" applyBorder="1" applyAlignment="1">
      <alignment vertical="center"/>
    </xf>
    <xf numFmtId="0" fontId="36" fillId="26" borderId="22" xfId="161" applyFont="1" applyFill="1" applyBorder="1" applyAlignment="1">
      <alignment vertical="center"/>
    </xf>
    <xf numFmtId="169" fontId="36" fillId="26" borderId="31" xfId="104" applyNumberFormat="1" applyFont="1" applyFill="1" applyBorder="1" applyAlignment="1">
      <alignment horizontal="right" vertical="center"/>
    </xf>
    <xf numFmtId="169" fontId="36" fillId="26" borderId="21" xfId="104" applyNumberFormat="1" applyFont="1" applyFill="1" applyBorder="1" applyAlignment="1">
      <alignment horizontal="right" vertical="center"/>
    </xf>
    <xf numFmtId="169" fontId="36" fillId="26" borderId="32" xfId="104" applyNumberFormat="1" applyFont="1" applyFill="1" applyBorder="1" applyAlignment="1">
      <alignment horizontal="right" vertical="center"/>
    </xf>
    <xf numFmtId="169" fontId="36" fillId="26" borderId="21" xfId="104" applyNumberFormat="1" applyFont="1" applyFill="1" applyBorder="1" applyAlignment="1">
      <alignment horizontal="center" vertical="center"/>
    </xf>
    <xf numFmtId="169" fontId="44" fillId="26" borderId="31" xfId="104" applyNumberFormat="1" applyFont="1" applyFill="1" applyBorder="1" applyAlignment="1">
      <alignment horizontal="right" vertical="center"/>
    </xf>
    <xf numFmtId="169" fontId="36" fillId="26" borderId="28" xfId="104" applyNumberFormat="1" applyFont="1" applyFill="1" applyBorder="1" applyAlignment="1">
      <alignment horizontal="right" vertical="center"/>
    </xf>
    <xf numFmtId="169" fontId="36" fillId="0" borderId="32" xfId="104" applyNumberFormat="1" applyFont="1" applyFill="1" applyBorder="1" applyAlignment="1">
      <alignment horizontal="right" vertical="center"/>
    </xf>
    <xf numFmtId="169" fontId="45" fillId="43" borderId="31" xfId="104" applyNumberFormat="1" applyFont="1" applyFill="1" applyBorder="1" applyAlignment="1">
      <alignment vertical="center"/>
    </xf>
    <xf numFmtId="169" fontId="45" fillId="43" borderId="21" xfId="104" applyNumberFormat="1" applyFont="1" applyFill="1" applyBorder="1" applyAlignment="1">
      <alignment vertical="center"/>
    </xf>
    <xf numFmtId="169" fontId="45" fillId="43" borderId="32" xfId="104" applyNumberFormat="1" applyFont="1" applyFill="1" applyBorder="1" applyAlignment="1">
      <alignment vertical="center"/>
    </xf>
    <xf numFmtId="169" fontId="44" fillId="43" borderId="31" xfId="104" applyNumberFormat="1" applyFont="1" applyFill="1" applyBorder="1" applyAlignment="1">
      <alignment vertical="center"/>
    </xf>
    <xf numFmtId="169" fontId="46" fillId="0" borderId="31" xfId="104" applyNumberFormat="1" applyFont="1" applyFill="1" applyBorder="1" applyAlignment="1">
      <alignment vertical="center"/>
    </xf>
    <xf numFmtId="169" fontId="46" fillId="0" borderId="21" xfId="104" applyNumberFormat="1" applyFont="1" applyFill="1" applyBorder="1" applyAlignment="1">
      <alignment vertical="center"/>
    </xf>
    <xf numFmtId="169" fontId="46" fillId="0" borderId="32" xfId="104" applyNumberFormat="1" applyFont="1" applyFill="1" applyBorder="1" applyAlignment="1">
      <alignment vertical="center"/>
    </xf>
    <xf numFmtId="0" fontId="36" fillId="35" borderId="22" xfId="161" applyFont="1" applyFill="1" applyBorder="1" applyAlignment="1">
      <alignment vertical="center"/>
    </xf>
    <xf numFmtId="169" fontId="36" fillId="35" borderId="31" xfId="104" applyNumberFormat="1" applyFont="1" applyFill="1" applyBorder="1" applyAlignment="1">
      <alignment vertical="center"/>
    </xf>
    <xf numFmtId="169" fontId="36" fillId="35" borderId="21" xfId="104" applyNumberFormat="1" applyFont="1" applyFill="1" applyBorder="1" applyAlignment="1">
      <alignment vertical="center"/>
    </xf>
    <xf numFmtId="169" fontId="36" fillId="35" borderId="32" xfId="104" applyNumberFormat="1" applyFont="1" applyFill="1" applyBorder="1" applyAlignment="1">
      <alignment vertical="center"/>
    </xf>
    <xf numFmtId="169" fontId="44" fillId="35" borderId="31" xfId="104" applyNumberFormat="1" applyFont="1" applyFill="1" applyBorder="1" applyAlignment="1">
      <alignment vertical="center"/>
    </xf>
    <xf numFmtId="169" fontId="36" fillId="35" borderId="32" xfId="104" applyNumberFormat="1" applyFont="1" applyFill="1" applyBorder="1" applyAlignment="1">
      <alignment horizontal="right" vertical="center"/>
    </xf>
    <xf numFmtId="0" fontId="27" fillId="0" borderId="22" xfId="161" applyFont="1" applyBorder="1" applyAlignment="1">
      <alignment vertical="center"/>
    </xf>
    <xf numFmtId="169" fontId="27" fillId="0" borderId="31" xfId="104" applyNumberFormat="1" applyFont="1" applyBorder="1" applyAlignment="1">
      <alignment vertical="center"/>
    </xf>
    <xf numFmtId="169" fontId="27" fillId="0" borderId="21" xfId="104" applyNumberFormat="1" applyFont="1" applyBorder="1" applyAlignment="1">
      <alignment vertical="center"/>
    </xf>
    <xf numFmtId="169" fontId="27" fillId="0" borderId="32" xfId="104" applyNumberFormat="1" applyFont="1" applyBorder="1" applyAlignment="1">
      <alignment vertical="center"/>
    </xf>
    <xf numFmtId="169" fontId="47" fillId="0" borderId="31" xfId="104" applyNumberFormat="1" applyFont="1" applyBorder="1" applyAlignment="1">
      <alignment vertical="center"/>
    </xf>
    <xf numFmtId="169" fontId="48" fillId="35" borderId="32" xfId="104" applyNumberFormat="1" applyFont="1" applyFill="1" applyBorder="1" applyAlignment="1">
      <alignment vertical="center"/>
    </xf>
    <xf numFmtId="169" fontId="48" fillId="35" borderId="31" xfId="104" applyNumberFormat="1" applyFont="1" applyFill="1" applyBorder="1" applyAlignment="1">
      <alignment vertical="center"/>
    </xf>
    <xf numFmtId="0" fontId="27" fillId="0" borderId="0" xfId="161" applyFont="1" applyAlignment="1">
      <alignment vertical="center"/>
    </xf>
    <xf numFmtId="0" fontId="27" fillId="0" borderId="22" xfId="161" applyFont="1" applyBorder="1" applyAlignment="1">
      <alignment horizontal="right" vertical="center"/>
    </xf>
    <xf numFmtId="169" fontId="27" fillId="0" borderId="31" xfId="161" applyNumberFormat="1" applyFont="1" applyBorder="1" applyAlignment="1">
      <alignment vertical="center"/>
    </xf>
    <xf numFmtId="169" fontId="27" fillId="0" borderId="21" xfId="161" applyNumberFormat="1" applyFont="1" applyBorder="1" applyAlignment="1">
      <alignment vertical="center"/>
    </xf>
    <xf numFmtId="169" fontId="27" fillId="0" borderId="32" xfId="161" applyNumberFormat="1" applyFont="1" applyBorder="1" applyAlignment="1">
      <alignment vertical="center"/>
    </xf>
    <xf numFmtId="169" fontId="47" fillId="0" borderId="31" xfId="161" applyNumberFormat="1" applyFont="1" applyBorder="1" applyAlignment="1">
      <alignment vertical="center"/>
    </xf>
    <xf numFmtId="169" fontId="27" fillId="0" borderId="28" xfId="104" applyNumberFormat="1" applyFont="1" applyFill="1" applyBorder="1" applyAlignment="1">
      <alignment horizontal="right" vertical="center"/>
    </xf>
    <xf numFmtId="169" fontId="36" fillId="26" borderId="31" xfId="161" applyNumberFormat="1" applyFont="1" applyFill="1" applyBorder="1" applyAlignment="1">
      <alignment vertical="center"/>
    </xf>
    <xf numFmtId="169" fontId="36" fillId="26" borderId="21" xfId="161" applyNumberFormat="1" applyFont="1" applyFill="1" applyBorder="1" applyAlignment="1">
      <alignment vertical="center"/>
    </xf>
    <xf numFmtId="169" fontId="36" fillId="26" borderId="32" xfId="161" applyNumberFormat="1" applyFont="1" applyFill="1" applyBorder="1" applyAlignment="1">
      <alignment vertical="center"/>
    </xf>
    <xf numFmtId="169" fontId="44" fillId="26" borderId="21" xfId="161" applyNumberFormat="1" applyFont="1" applyFill="1" applyBorder="1" applyAlignment="1">
      <alignment vertical="center"/>
    </xf>
    <xf numFmtId="0" fontId="27" fillId="41" borderId="22" xfId="161" applyFont="1" applyFill="1" applyBorder="1" applyAlignment="1">
      <alignment horizontal="right" vertical="center"/>
    </xf>
    <xf numFmtId="169" fontId="27" fillId="0" borderId="21" xfId="161" applyNumberFormat="1" applyFont="1" applyFill="1" applyBorder="1" applyAlignment="1">
      <alignment vertical="center"/>
    </xf>
    <xf numFmtId="169" fontId="27" fillId="0" borderId="28" xfId="161" applyNumberFormat="1" applyFont="1" applyBorder="1" applyAlignment="1">
      <alignment vertical="center"/>
    </xf>
    <xf numFmtId="0" fontId="36" fillId="27" borderId="31" xfId="161" applyFont="1" applyFill="1" applyBorder="1" applyAlignment="1">
      <alignment horizontal="center"/>
    </xf>
    <xf numFmtId="0" fontId="36" fillId="27" borderId="21" xfId="161" applyFont="1" applyFill="1" applyBorder="1" applyAlignment="1">
      <alignment horizontal="center"/>
    </xf>
    <xf numFmtId="0" fontId="36" fillId="27" borderId="32" xfId="161" applyFont="1" applyFill="1" applyBorder="1" applyAlignment="1">
      <alignment horizontal="center"/>
    </xf>
    <xf numFmtId="0" fontId="45" fillId="43" borderId="22" xfId="161" applyFont="1" applyFill="1" applyBorder="1"/>
    <xf numFmtId="169" fontId="45" fillId="43" borderId="31" xfId="161" applyNumberFormat="1" applyFont="1" applyFill="1" applyBorder="1" applyAlignment="1">
      <alignment horizontal="right"/>
    </xf>
    <xf numFmtId="169" fontId="45" fillId="43" borderId="21" xfId="161" applyNumberFormat="1" applyFont="1" applyFill="1" applyBorder="1" applyAlignment="1">
      <alignment horizontal="right"/>
    </xf>
    <xf numFmtId="169" fontId="45" fillId="43" borderId="32" xfId="161" applyNumberFormat="1" applyFont="1" applyFill="1" applyBorder="1" applyAlignment="1">
      <alignment horizontal="right"/>
    </xf>
    <xf numFmtId="169" fontId="45" fillId="43" borderId="31" xfId="161" applyNumberFormat="1" applyFont="1" applyFill="1" applyBorder="1" applyAlignment="1">
      <alignment vertical="top"/>
    </xf>
    <xf numFmtId="169" fontId="45" fillId="43" borderId="21" xfId="161" applyNumberFormat="1" applyFont="1" applyFill="1" applyBorder="1" applyAlignment="1">
      <alignment vertical="top"/>
    </xf>
    <xf numFmtId="169" fontId="45" fillId="43" borderId="32" xfId="161" applyNumberFormat="1" applyFont="1" applyFill="1" applyBorder="1" applyAlignment="1">
      <alignment vertical="top"/>
    </xf>
    <xf numFmtId="169" fontId="45" fillId="43" borderId="28" xfId="161" applyNumberFormat="1" applyFont="1" applyFill="1" applyBorder="1" applyAlignment="1">
      <alignment vertical="top"/>
    </xf>
    <xf numFmtId="0" fontId="36" fillId="0" borderId="22" xfId="161" applyFont="1" applyFill="1" applyBorder="1"/>
    <xf numFmtId="169" fontId="36" fillId="0" borderId="31" xfId="153" applyNumberFormat="1" applyFont="1" applyFill="1" applyBorder="1" applyAlignment="1">
      <alignment horizontal="right"/>
    </xf>
    <xf numFmtId="169" fontId="36" fillId="0" borderId="21" xfId="153" applyNumberFormat="1" applyFont="1" applyFill="1" applyBorder="1" applyAlignment="1">
      <alignment horizontal="right"/>
    </xf>
    <xf numFmtId="169" fontId="36" fillId="0" borderId="32" xfId="153" applyNumberFormat="1" applyFont="1" applyFill="1" applyBorder="1" applyAlignment="1">
      <alignment horizontal="right"/>
    </xf>
    <xf numFmtId="169" fontId="36" fillId="0" borderId="28" xfId="153" applyNumberFormat="1" applyFont="1" applyFill="1" applyBorder="1" applyAlignment="1">
      <alignment horizontal="right"/>
    </xf>
    <xf numFmtId="0" fontId="49" fillId="0" borderId="22" xfId="161" applyFont="1" applyBorder="1" applyAlignment="1">
      <alignment horizontal="right"/>
    </xf>
    <xf numFmtId="169" fontId="49" fillId="0" borderId="31" xfId="161" applyNumberFormat="1" applyFont="1" applyBorder="1"/>
    <xf numFmtId="169" fontId="49" fillId="0" borderId="21" xfId="161" applyNumberFormat="1" applyFont="1" applyBorder="1"/>
    <xf numFmtId="169" fontId="49" fillId="0" borderId="32" xfId="161" applyNumberFormat="1" applyFont="1" applyBorder="1"/>
    <xf numFmtId="169" fontId="49" fillId="0" borderId="31" xfId="161" applyNumberFormat="1" applyFont="1" applyBorder="1" applyAlignment="1"/>
    <xf numFmtId="169" fontId="49" fillId="0" borderId="21" xfId="161" applyNumberFormat="1" applyFont="1" applyBorder="1" applyAlignment="1"/>
    <xf numFmtId="169" fontId="49" fillId="0" borderId="32" xfId="161" applyNumberFormat="1" applyFont="1" applyBorder="1" applyAlignment="1">
      <alignment vertical="top"/>
    </xf>
    <xf numFmtId="169" fontId="49" fillId="0" borderId="28" xfId="153" applyNumberFormat="1" applyFont="1" applyFill="1" applyBorder="1" applyAlignment="1">
      <alignment horizontal="right"/>
    </xf>
    <xf numFmtId="0" fontId="36" fillId="0" borderId="22" xfId="161" applyFont="1" applyBorder="1"/>
    <xf numFmtId="169" fontId="50" fillId="0" borderId="31" xfId="161" applyNumberFormat="1" applyFont="1" applyBorder="1"/>
    <xf numFmtId="169" fontId="50" fillId="0" borderId="21" xfId="161" applyNumberFormat="1" applyFont="1" applyBorder="1"/>
    <xf numFmtId="169" fontId="50" fillId="0" borderId="32" xfId="161" applyNumberFormat="1" applyFont="1" applyBorder="1"/>
    <xf numFmtId="169" fontId="50" fillId="0" borderId="31" xfId="161" applyNumberFormat="1" applyFont="1" applyBorder="1" applyAlignment="1"/>
    <xf numFmtId="169" fontId="50" fillId="0" borderId="21" xfId="161" applyNumberFormat="1" applyFont="1" applyBorder="1" applyAlignment="1"/>
    <xf numFmtId="169" fontId="49" fillId="0" borderId="21" xfId="161" applyNumberFormat="1" applyFont="1" applyFill="1" applyBorder="1"/>
    <xf numFmtId="169" fontId="49" fillId="0" borderId="32" xfId="161" applyNumberFormat="1" applyFont="1" applyBorder="1" applyAlignment="1"/>
    <xf numFmtId="0" fontId="45" fillId="43" borderId="22" xfId="161" applyFont="1" applyFill="1" applyBorder="1" applyAlignment="1"/>
    <xf numFmtId="169" fontId="45" fillId="43" borderId="31" xfId="104" applyNumberFormat="1" applyFont="1" applyFill="1" applyBorder="1" applyAlignment="1"/>
    <xf numFmtId="169" fontId="45" fillId="43" borderId="21" xfId="104" applyNumberFormat="1" applyFont="1" applyFill="1" applyBorder="1" applyAlignment="1"/>
    <xf numFmtId="169" fontId="45" fillId="43" borderId="32" xfId="104" applyNumberFormat="1" applyFont="1" applyFill="1" applyBorder="1" applyAlignment="1"/>
    <xf numFmtId="169" fontId="45" fillId="43" borderId="31" xfId="153" applyNumberFormat="1" applyFont="1" applyFill="1" applyBorder="1" applyAlignment="1"/>
    <xf numFmtId="169" fontId="45" fillId="43" borderId="21" xfId="153" applyNumberFormat="1" applyFont="1" applyFill="1" applyBorder="1" applyAlignment="1"/>
    <xf numFmtId="169" fontId="45" fillId="43" borderId="32" xfId="153" applyNumberFormat="1" applyFont="1" applyFill="1" applyBorder="1" applyAlignment="1"/>
    <xf numFmtId="169" fontId="45" fillId="43" borderId="28" xfId="161" applyNumberFormat="1" applyFont="1" applyFill="1" applyBorder="1" applyAlignment="1"/>
    <xf numFmtId="169" fontId="46" fillId="0" borderId="31" xfId="104" applyNumberFormat="1" applyFont="1" applyFill="1" applyBorder="1"/>
    <xf numFmtId="169" fontId="46" fillId="0" borderId="21" xfId="104" applyNumberFormat="1" applyFont="1" applyFill="1" applyBorder="1"/>
    <xf numFmtId="169" fontId="46" fillId="0" borderId="32" xfId="104" applyNumberFormat="1" applyFont="1" applyFill="1" applyBorder="1"/>
    <xf numFmtId="169" fontId="49" fillId="0" borderId="31" xfId="153" applyNumberFormat="1" applyFont="1" applyBorder="1" applyAlignment="1"/>
    <xf numFmtId="169" fontId="49" fillId="0" borderId="21" xfId="153" applyNumberFormat="1" applyFont="1" applyBorder="1" applyAlignment="1"/>
    <xf numFmtId="169" fontId="49" fillId="0" borderId="32" xfId="153" applyNumberFormat="1" applyFont="1" applyBorder="1" applyAlignment="1"/>
    <xf numFmtId="169" fontId="49" fillId="0" borderId="28" xfId="161" applyNumberFormat="1" applyFont="1" applyBorder="1" applyAlignment="1"/>
    <xf numFmtId="169" fontId="36" fillId="0" borderId="31" xfId="104" applyNumberFormat="1" applyFont="1" applyBorder="1"/>
    <xf numFmtId="169" fontId="36" fillId="0" borderId="21" xfId="104" applyNumberFormat="1" applyFont="1" applyBorder="1"/>
    <xf numFmtId="169" fontId="36" fillId="0" borderId="32" xfId="104" applyNumberFormat="1" applyFont="1" applyBorder="1"/>
    <xf numFmtId="169" fontId="36" fillId="0" borderId="31" xfId="104" applyNumberFormat="1" applyFont="1" applyBorder="1" applyAlignment="1"/>
    <xf numFmtId="169" fontId="36" fillId="35" borderId="31" xfId="104" applyNumberFormat="1" applyFont="1" applyFill="1" applyBorder="1" applyAlignment="1"/>
    <xf numFmtId="169" fontId="36" fillId="0" borderId="33" xfId="104" applyNumberFormat="1" applyFont="1" applyBorder="1"/>
    <xf numFmtId="169" fontId="36" fillId="0" borderId="34" xfId="104" applyNumberFormat="1" applyFont="1" applyBorder="1"/>
    <xf numFmtId="169" fontId="36" fillId="0" borderId="28" xfId="104" applyNumberFormat="1" applyFont="1" applyBorder="1"/>
    <xf numFmtId="0" fontId="27" fillId="0" borderId="22" xfId="161" applyFont="1" applyBorder="1"/>
    <xf numFmtId="169" fontId="27" fillId="0" borderId="31" xfId="104" applyNumberFormat="1" applyFont="1" applyBorder="1"/>
    <xf numFmtId="169" fontId="27" fillId="0" borderId="21" xfId="104" applyNumberFormat="1" applyFont="1" applyBorder="1"/>
    <xf numFmtId="169" fontId="27" fillId="0" borderId="32" xfId="104" applyNumberFormat="1" applyFont="1" applyBorder="1"/>
    <xf numFmtId="169" fontId="27" fillId="0" borderId="28" xfId="104" applyNumberFormat="1" applyFont="1" applyBorder="1"/>
    <xf numFmtId="0" fontId="36" fillId="37" borderId="22" xfId="161" applyFont="1" applyFill="1" applyBorder="1"/>
    <xf numFmtId="169" fontId="36" fillId="37" borderId="31" xfId="104" applyNumberFormat="1" applyFont="1" applyFill="1" applyBorder="1"/>
    <xf numFmtId="169" fontId="36" fillId="37" borderId="21" xfId="104" applyNumberFormat="1" applyFont="1" applyFill="1" applyBorder="1"/>
    <xf numFmtId="169" fontId="48" fillId="37" borderId="32" xfId="104" applyNumberFormat="1" applyFont="1" applyFill="1" applyBorder="1"/>
    <xf numFmtId="169" fontId="48" fillId="37" borderId="31" xfId="104" applyNumberFormat="1" applyFont="1" applyFill="1" applyBorder="1"/>
    <xf numFmtId="169" fontId="27" fillId="0" borderId="0" xfId="104" applyNumberFormat="1" applyFont="1"/>
    <xf numFmtId="169" fontId="27" fillId="0" borderId="0" xfId="161" applyNumberFormat="1" applyFont="1"/>
    <xf numFmtId="3" fontId="27" fillId="0" borderId="0" xfId="161" applyNumberFormat="1" applyFont="1"/>
    <xf numFmtId="165" fontId="27" fillId="0" borderId="0" xfId="167" applyNumberFormat="1" applyFont="1"/>
    <xf numFmtId="168" fontId="27" fillId="0" borderId="0" xfId="167" applyNumberFormat="1" applyFont="1"/>
    <xf numFmtId="165" fontId="27" fillId="0" borderId="21" xfId="167" applyNumberFormat="1" applyFont="1" applyBorder="1"/>
    <xf numFmtId="169" fontId="27" fillId="0" borderId="21" xfId="0" applyNumberFormat="1" applyFont="1" applyFill="1" applyBorder="1" applyAlignment="1"/>
    <xf numFmtId="169" fontId="27" fillId="0" borderId="21" xfId="167" applyNumberFormat="1" applyFont="1" applyBorder="1"/>
    <xf numFmtId="168" fontId="36" fillId="31" borderId="21" xfId="167" applyNumberFormat="1" applyFont="1" applyFill="1" applyBorder="1" applyAlignment="1">
      <alignment wrapText="1"/>
    </xf>
    <xf numFmtId="169" fontId="36" fillId="31" borderId="21" xfId="167" applyNumberFormat="1" applyFont="1" applyFill="1" applyBorder="1" applyAlignment="1">
      <alignment wrapText="1"/>
    </xf>
    <xf numFmtId="0" fontId="27" fillId="0" borderId="21" xfId="167" applyFont="1" applyBorder="1" applyAlignment="1">
      <alignment wrapText="1"/>
    </xf>
    <xf numFmtId="169" fontId="27" fillId="0" borderId="21" xfId="153" applyNumberFormat="1" applyFont="1" applyBorder="1"/>
    <xf numFmtId="0" fontId="36" fillId="32" borderId="21" xfId="167" applyFont="1" applyFill="1" applyBorder="1" applyAlignment="1">
      <alignment wrapText="1"/>
    </xf>
    <xf numFmtId="169" fontId="36" fillId="32" borderId="21" xfId="153" applyNumberFormat="1" applyFont="1" applyFill="1" applyBorder="1"/>
    <xf numFmtId="0" fontId="27" fillId="0" borderId="0" xfId="167" applyFont="1" applyAlignment="1">
      <alignment wrapText="1"/>
    </xf>
    <xf numFmtId="169" fontId="27" fillId="0" borderId="0" xfId="167" applyNumberFormat="1" applyFont="1"/>
    <xf numFmtId="0" fontId="51" fillId="28" borderId="21" xfId="0" applyFont="1" applyFill="1" applyBorder="1" applyAlignment="1">
      <alignment vertical="center" wrapText="1"/>
    </xf>
    <xf numFmtId="0" fontId="51" fillId="28" borderId="21" xfId="0" applyFont="1" applyFill="1" applyBorder="1" applyAlignment="1">
      <alignment horizontal="center" vertical="center" wrapText="1"/>
    </xf>
    <xf numFmtId="0" fontId="42" fillId="0" borderId="21" xfId="0" applyFont="1" applyBorder="1" applyAlignment="1">
      <alignment wrapText="1"/>
    </xf>
    <xf numFmtId="169" fontId="42" fillId="0" borderId="21" xfId="0" applyNumberFormat="1" applyFont="1" applyBorder="1" applyAlignment="1">
      <alignment horizontal="right"/>
    </xf>
    <xf numFmtId="169" fontId="42" fillId="0" borderId="21" xfId="0" applyNumberFormat="1" applyFont="1" applyBorder="1" applyAlignment="1">
      <alignment horizontal="right" vertical="center"/>
    </xf>
    <xf numFmtId="0" fontId="42" fillId="0" borderId="21" xfId="0" applyFont="1" applyBorder="1" applyAlignment="1">
      <alignment vertical="center" wrapText="1"/>
    </xf>
    <xf numFmtId="169" fontId="51" fillId="35" borderId="21" xfId="0" applyNumberFormat="1" applyFont="1" applyFill="1" applyBorder="1" applyAlignment="1">
      <alignment horizontal="right" vertical="center"/>
    </xf>
    <xf numFmtId="169" fontId="51" fillId="28" borderId="21" xfId="0" applyNumberFormat="1" applyFont="1" applyFill="1" applyBorder="1" applyAlignment="1">
      <alignment horizontal="right" vertical="center"/>
    </xf>
    <xf numFmtId="169" fontId="36" fillId="35" borderId="21" xfId="0" applyNumberFormat="1" applyFont="1" applyFill="1" applyBorder="1" applyAlignment="1">
      <alignment vertical="center"/>
    </xf>
    <xf numFmtId="0" fontId="27" fillId="37" borderId="21" xfId="167" applyFont="1" applyFill="1" applyBorder="1" applyAlignment="1">
      <alignment horizontal="left" vertical="center" wrapText="1"/>
    </xf>
    <xf numFmtId="168" fontId="27" fillId="37" borderId="21" xfId="85" applyNumberFormat="1" applyFont="1" applyFill="1" applyBorder="1" applyAlignment="1">
      <alignment vertical="center"/>
    </xf>
    <xf numFmtId="0" fontId="48" fillId="41" borderId="21" xfId="0" applyFont="1" applyFill="1" applyBorder="1" applyAlignment="1">
      <alignment vertical="center"/>
    </xf>
    <xf numFmtId="170" fontId="48" fillId="0" borderId="21" xfId="0" applyNumberFormat="1" applyFont="1" applyBorder="1" applyAlignment="1">
      <alignment vertical="center"/>
    </xf>
    <xf numFmtId="170" fontId="48" fillId="0" borderId="21" xfId="0" applyNumberFormat="1" applyFont="1" applyBorder="1" applyAlignment="1">
      <alignment vertical="center" wrapText="1"/>
    </xf>
    <xf numFmtId="170" fontId="46" fillId="0" borderId="0" xfId="0" applyNumberFormat="1" applyFont="1" applyBorder="1" applyAlignment="1">
      <alignment vertical="center"/>
    </xf>
    <xf numFmtId="168" fontId="27" fillId="37" borderId="21" xfId="167" applyNumberFormat="1" applyFont="1" applyFill="1" applyBorder="1" applyAlignment="1">
      <alignment horizontal="left" vertical="center" wrapText="1"/>
    </xf>
    <xf numFmtId="168" fontId="27" fillId="37" borderId="21" xfId="167" applyNumberFormat="1" applyFont="1" applyFill="1" applyBorder="1" applyAlignment="1">
      <alignment vertical="center" wrapText="1"/>
    </xf>
    <xf numFmtId="168" fontId="27" fillId="37" borderId="21" xfId="167" applyNumberFormat="1" applyFont="1" applyFill="1" applyBorder="1" applyAlignment="1">
      <alignment horizontal="center" vertical="center" wrapText="1"/>
    </xf>
    <xf numFmtId="170" fontId="46" fillId="0" borderId="0" xfId="0" applyNumberFormat="1" applyFont="1" applyBorder="1" applyAlignment="1">
      <alignment horizontal="left" vertical="center"/>
    </xf>
    <xf numFmtId="49" fontId="27" fillId="35" borderId="21" xfId="0" applyNumberFormat="1" applyFont="1" applyFill="1" applyBorder="1" applyAlignment="1">
      <alignment vertical="center" wrapText="1"/>
    </xf>
    <xf numFmtId="168" fontId="27" fillId="0" borderId="21" xfId="0" applyNumberFormat="1" applyFont="1" applyBorder="1" applyAlignment="1">
      <alignment vertical="center"/>
    </xf>
    <xf numFmtId="0" fontId="27" fillId="0" borderId="0" xfId="0" applyFont="1" applyFill="1" applyAlignment="1">
      <alignment vertical="center"/>
    </xf>
    <xf numFmtId="170" fontId="27" fillId="40" borderId="21" xfId="0" applyNumberFormat="1" applyFont="1" applyFill="1" applyBorder="1" applyAlignment="1">
      <alignment vertical="center"/>
    </xf>
    <xf numFmtId="169" fontId="36" fillId="33" borderId="21" xfId="0" applyNumberFormat="1" applyFont="1" applyFill="1" applyBorder="1" applyAlignment="1">
      <alignment vertical="center"/>
    </xf>
    <xf numFmtId="169" fontId="36" fillId="27" borderId="30" xfId="0" applyNumberFormat="1" applyFont="1" applyFill="1" applyBorder="1" applyAlignment="1">
      <alignment vertical="center"/>
    </xf>
    <xf numFmtId="169" fontId="36" fillId="35" borderId="21" xfId="153" applyNumberFormat="1" applyFont="1" applyFill="1" applyBorder="1"/>
    <xf numFmtId="0" fontId="27" fillId="34" borderId="29" xfId="0" applyFont="1" applyFill="1" applyBorder="1" applyAlignment="1">
      <alignment horizontal="left" vertical="center" wrapText="1"/>
    </xf>
    <xf numFmtId="0" fontId="27" fillId="34" borderId="21" xfId="0" applyFont="1" applyFill="1" applyBorder="1" applyAlignment="1">
      <alignment horizontal="left" vertical="center" wrapText="1"/>
    </xf>
    <xf numFmtId="0" fontId="27" fillId="34" borderId="29" xfId="0" applyFont="1" applyFill="1" applyBorder="1" applyAlignment="1">
      <alignment vertical="center"/>
    </xf>
    <xf numFmtId="0" fontId="27" fillId="35" borderId="21" xfId="0" applyFont="1" applyFill="1" applyBorder="1" applyAlignment="1">
      <alignment horizontal="left" vertical="center" wrapText="1"/>
    </xf>
    <xf numFmtId="0" fontId="36" fillId="36" borderId="21" xfId="167" applyFont="1" applyFill="1" applyBorder="1" applyAlignment="1">
      <alignment horizontal="center" vertical="center" wrapText="1"/>
    </xf>
    <xf numFmtId="0" fontId="27" fillId="34" borderId="20" xfId="167" applyFont="1" applyFill="1" applyBorder="1" applyAlignment="1">
      <alignment horizontal="left" vertical="center" wrapText="1"/>
    </xf>
    <xf numFmtId="168" fontId="27" fillId="33" borderId="21" xfId="167" applyNumberFormat="1" applyFont="1" applyFill="1" applyBorder="1" applyAlignment="1">
      <alignment horizontal="left" vertical="center" wrapText="1"/>
    </xf>
    <xf numFmtId="0" fontId="27" fillId="35" borderId="11" xfId="0" applyFont="1" applyFill="1" applyBorder="1" applyAlignment="1">
      <alignment horizontal="left" vertical="center" wrapText="1"/>
    </xf>
    <xf numFmtId="0" fontId="27" fillId="34" borderId="21" xfId="0" applyFont="1" applyFill="1" applyBorder="1" applyAlignment="1">
      <alignment horizontal="left" vertical="center" wrapText="1"/>
    </xf>
    <xf numFmtId="0" fontId="27" fillId="35" borderId="11" xfId="0" applyFont="1" applyFill="1" applyBorder="1" applyAlignment="1">
      <alignment horizontal="left" vertical="center"/>
    </xf>
    <xf numFmtId="0" fontId="27" fillId="35" borderId="21" xfId="0" applyFont="1" applyFill="1" applyBorder="1" applyAlignment="1">
      <alignment horizontal="left" vertical="center" wrapText="1"/>
    </xf>
    <xf numFmtId="0" fontId="27" fillId="35" borderId="21" xfId="0" applyFont="1" applyFill="1" applyBorder="1" applyAlignment="1">
      <alignment horizontal="left" vertical="top" wrapText="1"/>
    </xf>
    <xf numFmtId="168" fontId="36" fillId="30" borderId="22" xfId="167" applyNumberFormat="1" applyFont="1" applyFill="1" applyBorder="1" applyAlignment="1">
      <alignment vertical="center" wrapText="1"/>
    </xf>
    <xf numFmtId="168" fontId="36" fillId="30" borderId="21" xfId="167" applyNumberFormat="1" applyFont="1" applyFill="1" applyBorder="1" applyAlignment="1">
      <alignment vertical="center" wrapText="1"/>
    </xf>
    <xf numFmtId="168" fontId="27" fillId="30" borderId="22" xfId="167" applyNumberFormat="1" applyFont="1" applyFill="1" applyBorder="1" applyAlignment="1">
      <alignment vertical="center" wrapText="1"/>
    </xf>
    <xf numFmtId="0" fontId="27" fillId="35" borderId="29" xfId="167" applyFont="1" applyFill="1" applyBorder="1" applyAlignment="1">
      <alignment vertical="center" wrapText="1"/>
    </xf>
    <xf numFmtId="0" fontId="36" fillId="29" borderId="35" xfId="167" applyFont="1" applyFill="1" applyBorder="1" applyAlignment="1">
      <alignment vertical="center" wrapText="1"/>
    </xf>
    <xf numFmtId="0" fontId="36" fillId="29" borderId="28" xfId="167" applyFont="1" applyFill="1" applyBorder="1" applyAlignment="1">
      <alignment vertical="center" wrapText="1"/>
    </xf>
    <xf numFmtId="0" fontId="36" fillId="29" borderId="21" xfId="167" applyFont="1" applyFill="1" applyBorder="1" applyAlignment="1">
      <alignment vertical="center" wrapText="1"/>
    </xf>
    <xf numFmtId="0" fontId="52" fillId="0" borderId="0" xfId="0" applyFont="1" applyAlignment="1">
      <alignment vertical="center"/>
    </xf>
    <xf numFmtId="0" fontId="27" fillId="34" borderId="21" xfId="0" applyFont="1" applyFill="1" applyBorder="1" applyAlignment="1">
      <alignment horizontal="left" vertical="top" wrapText="1"/>
    </xf>
    <xf numFmtId="0" fontId="46" fillId="0" borderId="0" xfId="0" applyFont="1" applyAlignment="1">
      <alignment vertical="center"/>
    </xf>
    <xf numFmtId="0" fontId="26" fillId="25" borderId="22" xfId="167" applyFont="1" applyFill="1" applyBorder="1" applyAlignment="1">
      <alignment horizontal="left" wrapText="1"/>
    </xf>
    <xf numFmtId="0" fontId="26" fillId="25" borderId="35" xfId="167" applyFont="1" applyFill="1" applyBorder="1" applyAlignment="1">
      <alignment horizontal="left" wrapText="1"/>
    </xf>
    <xf numFmtId="0" fontId="26" fillId="25" borderId="28" xfId="167" applyFont="1" applyFill="1" applyBorder="1" applyAlignment="1">
      <alignment horizontal="left" wrapText="1"/>
    </xf>
    <xf numFmtId="0" fontId="26" fillId="0" borderId="36" xfId="167" applyFont="1" applyBorder="1" applyAlignment="1">
      <alignment horizontal="left" wrapText="1"/>
    </xf>
    <xf numFmtId="0" fontId="26" fillId="25" borderId="37" xfId="167" applyFont="1" applyFill="1" applyBorder="1" applyAlignment="1">
      <alignment horizontal="left" wrapText="1"/>
    </xf>
    <xf numFmtId="0" fontId="26" fillId="25" borderId="36" xfId="167" applyFont="1" applyFill="1" applyBorder="1" applyAlignment="1">
      <alignment horizontal="left" wrapText="1"/>
    </xf>
    <xf numFmtId="0" fontId="26" fillId="25" borderId="38" xfId="167" applyFont="1" applyFill="1" applyBorder="1" applyAlignment="1">
      <alignment horizontal="left" wrapText="1"/>
    </xf>
    <xf numFmtId="0" fontId="26" fillId="0" borderId="27" xfId="167" applyFont="1" applyBorder="1" applyAlignment="1">
      <alignment horizontal="center" wrapText="1"/>
    </xf>
    <xf numFmtId="0" fontId="26" fillId="27" borderId="20" xfId="161" applyFont="1" applyFill="1" applyBorder="1" applyAlignment="1">
      <alignment horizontal="center" vertical="center"/>
    </xf>
    <xf numFmtId="0" fontId="26" fillId="27" borderId="11" xfId="161" applyFont="1" applyFill="1" applyBorder="1" applyAlignment="1">
      <alignment horizontal="center" vertical="center"/>
    </xf>
    <xf numFmtId="0" fontId="26" fillId="27" borderId="37" xfId="161" applyFont="1" applyFill="1" applyBorder="1" applyAlignment="1">
      <alignment horizontal="center"/>
    </xf>
    <xf numFmtId="0" fontId="26" fillId="27" borderId="36" xfId="161" applyFont="1" applyFill="1" applyBorder="1" applyAlignment="1">
      <alignment horizontal="center"/>
    </xf>
    <xf numFmtId="0" fontId="26" fillId="27" borderId="38" xfId="161" applyFont="1" applyFill="1" applyBorder="1" applyAlignment="1">
      <alignment horizontal="center"/>
    </xf>
    <xf numFmtId="0" fontId="36" fillId="25" borderId="22" xfId="167" applyFont="1" applyFill="1" applyBorder="1" applyAlignment="1">
      <alignment horizontal="left" wrapText="1"/>
    </xf>
    <xf numFmtId="0" fontId="36" fillId="25" borderId="35" xfId="167" applyFont="1" applyFill="1" applyBorder="1" applyAlignment="1">
      <alignment horizontal="left" wrapText="1"/>
    </xf>
    <xf numFmtId="0" fontId="36" fillId="25" borderId="28" xfId="167" applyFont="1" applyFill="1" applyBorder="1" applyAlignment="1">
      <alignment horizontal="left" wrapText="1"/>
    </xf>
    <xf numFmtId="0" fontId="36" fillId="0" borderId="36" xfId="167" applyFont="1" applyBorder="1" applyAlignment="1">
      <alignment horizontal="center" wrapText="1"/>
    </xf>
    <xf numFmtId="0" fontId="36" fillId="27" borderId="9" xfId="161" applyFont="1" applyFill="1" applyBorder="1" applyAlignment="1">
      <alignment horizontal="center" vertical="center"/>
    </xf>
    <xf numFmtId="0" fontId="36" fillId="27" borderId="37" xfId="161" applyFont="1" applyFill="1" applyBorder="1" applyAlignment="1">
      <alignment horizontal="center" vertical="center"/>
    </xf>
    <xf numFmtId="0" fontId="36" fillId="27" borderId="33" xfId="161" applyFont="1" applyFill="1" applyBorder="1" applyAlignment="1">
      <alignment horizontal="center" vertical="center"/>
    </xf>
    <xf numFmtId="0" fontId="36" fillId="27" borderId="35" xfId="161" applyFont="1" applyFill="1" applyBorder="1" applyAlignment="1">
      <alignment horizontal="center" vertical="center"/>
    </xf>
    <xf numFmtId="0" fontId="36" fillId="27" borderId="34" xfId="161" applyFont="1" applyFill="1" applyBorder="1" applyAlignment="1">
      <alignment horizontal="center" vertical="center"/>
    </xf>
    <xf numFmtId="0" fontId="36" fillId="27" borderId="33" xfId="161" applyFont="1" applyFill="1" applyBorder="1" applyAlignment="1">
      <alignment horizontal="center" vertical="center" wrapText="1"/>
    </xf>
    <xf numFmtId="0" fontId="36" fillId="27" borderId="35" xfId="161" applyFont="1" applyFill="1" applyBorder="1" applyAlignment="1">
      <alignment horizontal="center" vertical="center" wrapText="1"/>
    </xf>
    <xf numFmtId="0" fontId="36" fillId="27" borderId="34" xfId="161" applyFont="1" applyFill="1" applyBorder="1" applyAlignment="1">
      <alignment horizontal="center" vertical="center" wrapText="1"/>
    </xf>
    <xf numFmtId="0" fontId="36" fillId="27" borderId="28" xfId="161" applyFont="1" applyFill="1" applyBorder="1" applyAlignment="1">
      <alignment horizontal="center"/>
    </xf>
    <xf numFmtId="0" fontId="36" fillId="0" borderId="36" xfId="161" applyFont="1" applyBorder="1" applyAlignment="1">
      <alignment horizontal="center" vertical="center"/>
    </xf>
    <xf numFmtId="0" fontId="36" fillId="0" borderId="0" xfId="161" applyFont="1" applyBorder="1" applyAlignment="1">
      <alignment horizontal="center" vertical="center"/>
    </xf>
    <xf numFmtId="0" fontId="36" fillId="27" borderId="31" xfId="161" applyFont="1" applyFill="1" applyBorder="1" applyAlignment="1">
      <alignment horizontal="center" vertical="center"/>
    </xf>
    <xf numFmtId="0" fontId="36" fillId="27" borderId="21" xfId="161" applyFont="1" applyFill="1" applyBorder="1" applyAlignment="1">
      <alignment horizontal="center" vertical="center"/>
    </xf>
    <xf numFmtId="0" fontId="36" fillId="27" borderId="32" xfId="161" applyFont="1" applyFill="1" applyBorder="1" applyAlignment="1">
      <alignment horizontal="center" vertical="center"/>
    </xf>
    <xf numFmtId="0" fontId="44" fillId="35" borderId="31" xfId="161" applyFont="1" applyFill="1" applyBorder="1" applyAlignment="1">
      <alignment horizontal="center" vertical="center"/>
    </xf>
    <xf numFmtId="0" fontId="44" fillId="35" borderId="21" xfId="161" applyFont="1" applyFill="1" applyBorder="1" applyAlignment="1">
      <alignment horizontal="center" vertical="center"/>
    </xf>
    <xf numFmtId="0" fontId="44" fillId="35" borderId="32" xfId="161" applyFont="1" applyFill="1" applyBorder="1" applyAlignment="1">
      <alignment horizontal="center" vertical="center"/>
    </xf>
    <xf numFmtId="0" fontId="36" fillId="27" borderId="28" xfId="161" applyFont="1" applyFill="1" applyBorder="1" applyAlignment="1">
      <alignment horizontal="center" vertical="center"/>
    </xf>
    <xf numFmtId="0" fontId="36" fillId="27" borderId="22" xfId="161" applyFont="1" applyFill="1" applyBorder="1" applyAlignment="1">
      <alignment horizontal="center" vertical="center"/>
    </xf>
    <xf numFmtId="0" fontId="27" fillId="34" borderId="29" xfId="167" applyFont="1" applyFill="1" applyBorder="1" applyAlignment="1">
      <alignment horizontal="left" vertical="center" wrapText="1"/>
    </xf>
    <xf numFmtId="0" fontId="27" fillId="34" borderId="20" xfId="167" applyFont="1" applyFill="1" applyBorder="1" applyAlignment="1">
      <alignment horizontal="left" vertical="center" wrapText="1"/>
    </xf>
    <xf numFmtId="0" fontId="27" fillId="34" borderId="11" xfId="167" applyFont="1" applyFill="1" applyBorder="1" applyAlignment="1">
      <alignment horizontal="left" vertical="center" wrapText="1"/>
    </xf>
    <xf numFmtId="0" fontId="36" fillId="35" borderId="20" xfId="167" applyFont="1" applyFill="1" applyBorder="1" applyAlignment="1">
      <alignment horizontal="center" vertical="center" wrapText="1"/>
    </xf>
    <xf numFmtId="0" fontId="36" fillId="35" borderId="11" xfId="167" applyFont="1" applyFill="1" applyBorder="1" applyAlignment="1">
      <alignment horizontal="center" vertical="center" wrapText="1"/>
    </xf>
    <xf numFmtId="0" fontId="27" fillId="35" borderId="29" xfId="167" applyFont="1" applyFill="1" applyBorder="1" applyAlignment="1">
      <alignment horizontal="left" vertical="center" wrapText="1"/>
    </xf>
    <xf numFmtId="0" fontId="27" fillId="35" borderId="20" xfId="167" applyFont="1" applyFill="1" applyBorder="1" applyAlignment="1">
      <alignment horizontal="left" vertical="center" wrapText="1"/>
    </xf>
    <xf numFmtId="0" fontId="27" fillId="35" borderId="11" xfId="167" applyFont="1" applyFill="1" applyBorder="1" applyAlignment="1">
      <alignment horizontal="left" vertical="center" wrapText="1"/>
    </xf>
    <xf numFmtId="0" fontId="27" fillId="35" borderId="29" xfId="0" applyFont="1" applyFill="1" applyBorder="1" applyAlignment="1">
      <alignment horizontal="left" vertical="center" wrapText="1"/>
    </xf>
    <xf numFmtId="0" fontId="27" fillId="35" borderId="20" xfId="0" applyFont="1" applyFill="1" applyBorder="1" applyAlignment="1">
      <alignment horizontal="left" vertical="center" wrapText="1"/>
    </xf>
    <xf numFmtId="0" fontId="27" fillId="35" borderId="11" xfId="0" applyFont="1" applyFill="1" applyBorder="1" applyAlignment="1">
      <alignment horizontal="left" vertical="center" wrapText="1"/>
    </xf>
    <xf numFmtId="0" fontId="36" fillId="34" borderId="29" xfId="167" applyFont="1" applyFill="1" applyBorder="1" applyAlignment="1">
      <alignment horizontal="center" vertical="center" wrapText="1"/>
    </xf>
    <xf numFmtId="0" fontId="36" fillId="34" borderId="20" xfId="167" applyFont="1" applyFill="1" applyBorder="1" applyAlignment="1">
      <alignment horizontal="center" vertical="center" wrapText="1"/>
    </xf>
    <xf numFmtId="0" fontId="36" fillId="34" borderId="11" xfId="167" applyFont="1" applyFill="1" applyBorder="1" applyAlignment="1">
      <alignment horizontal="center" vertical="center" wrapText="1"/>
    </xf>
    <xf numFmtId="0" fontId="27" fillId="34" borderId="29" xfId="0" applyFont="1" applyFill="1" applyBorder="1" applyAlignment="1">
      <alignment horizontal="left" vertical="center" wrapText="1"/>
    </xf>
    <xf numFmtId="0" fontId="27" fillId="34" borderId="11" xfId="0" applyFont="1" applyFill="1" applyBorder="1" applyAlignment="1">
      <alignment horizontal="left" vertical="center" wrapText="1"/>
    </xf>
    <xf numFmtId="170" fontId="27" fillId="34" borderId="29" xfId="118" applyNumberFormat="1" applyFont="1" applyFill="1" applyBorder="1" applyAlignment="1">
      <alignment horizontal="left" vertical="center"/>
    </xf>
    <xf numFmtId="170" fontId="27" fillId="34" borderId="20" xfId="118" applyNumberFormat="1" applyFont="1" applyFill="1" applyBorder="1" applyAlignment="1">
      <alignment horizontal="left" vertical="center"/>
    </xf>
    <xf numFmtId="170" fontId="27" fillId="34" borderId="11" xfId="118" applyNumberFormat="1" applyFont="1" applyFill="1" applyBorder="1" applyAlignment="1">
      <alignment horizontal="left" vertical="center"/>
    </xf>
    <xf numFmtId="0" fontId="27" fillId="34" borderId="29" xfId="0" applyFont="1" applyFill="1" applyBorder="1" applyAlignment="1">
      <alignment horizontal="left" vertical="center"/>
    </xf>
    <xf numFmtId="0" fontId="27" fillId="34" borderId="20" xfId="0" applyFont="1" applyFill="1" applyBorder="1" applyAlignment="1">
      <alignment horizontal="left" vertical="center"/>
    </xf>
    <xf numFmtId="0" fontId="27" fillId="34" borderId="11" xfId="0" applyFont="1" applyFill="1" applyBorder="1" applyAlignment="1">
      <alignment horizontal="left" vertical="center"/>
    </xf>
    <xf numFmtId="0" fontId="36" fillId="25" borderId="22" xfId="167" applyFont="1" applyFill="1" applyBorder="1" applyAlignment="1">
      <alignment horizontal="left" vertical="center" wrapText="1"/>
    </xf>
    <xf numFmtId="0" fontId="36" fillId="25" borderId="35" xfId="167" applyFont="1" applyFill="1" applyBorder="1" applyAlignment="1">
      <alignment horizontal="left" vertical="center" wrapText="1"/>
    </xf>
    <xf numFmtId="0" fontId="36" fillId="25" borderId="28" xfId="167" applyFont="1" applyFill="1" applyBorder="1" applyAlignment="1">
      <alignment horizontal="left" vertical="center" wrapText="1"/>
    </xf>
    <xf numFmtId="0" fontId="36" fillId="36" borderId="29" xfId="167" applyFont="1" applyFill="1" applyBorder="1" applyAlignment="1">
      <alignment horizontal="left" vertical="center" wrapText="1"/>
    </xf>
    <xf numFmtId="0" fontId="36" fillId="36" borderId="11" xfId="167" applyFont="1" applyFill="1" applyBorder="1" applyAlignment="1">
      <alignment horizontal="left" vertical="center" wrapText="1"/>
    </xf>
    <xf numFmtId="0" fontId="36" fillId="36" borderId="29" xfId="167" applyFont="1" applyFill="1" applyBorder="1" applyAlignment="1">
      <alignment horizontal="center" vertical="center" wrapText="1"/>
    </xf>
    <xf numFmtId="0" fontId="36" fillId="36" borderId="11" xfId="167" applyFont="1" applyFill="1" applyBorder="1" applyAlignment="1">
      <alignment horizontal="center" vertical="center" wrapText="1"/>
    </xf>
    <xf numFmtId="0" fontId="36" fillId="36" borderId="21" xfId="167" applyFont="1" applyFill="1" applyBorder="1" applyAlignment="1">
      <alignment horizontal="center" vertical="center" wrapText="1"/>
    </xf>
    <xf numFmtId="169" fontId="27" fillId="35" borderId="29" xfId="153" applyNumberFormat="1" applyFont="1" applyFill="1" applyBorder="1" applyAlignment="1">
      <alignment horizontal="center" vertical="center"/>
    </xf>
    <xf numFmtId="169" fontId="27" fillId="35" borderId="11" xfId="153" applyNumberFormat="1" applyFont="1" applyFill="1" applyBorder="1" applyAlignment="1">
      <alignment horizontal="center" vertical="center"/>
    </xf>
    <xf numFmtId="168" fontId="27" fillId="35" borderId="29" xfId="167" applyNumberFormat="1" applyFont="1" applyFill="1" applyBorder="1" applyAlignment="1">
      <alignment horizontal="left" vertical="center" wrapText="1"/>
    </xf>
    <xf numFmtId="168" fontId="27" fillId="35" borderId="20" xfId="167" applyNumberFormat="1" applyFont="1" applyFill="1" applyBorder="1" applyAlignment="1">
      <alignment horizontal="left" vertical="center" wrapText="1"/>
    </xf>
    <xf numFmtId="168" fontId="27" fillId="35" borderId="11" xfId="167" applyNumberFormat="1" applyFont="1" applyFill="1" applyBorder="1" applyAlignment="1">
      <alignment horizontal="left" vertical="center" wrapText="1"/>
    </xf>
    <xf numFmtId="0" fontId="36" fillId="25" borderId="21" xfId="167" applyFont="1" applyFill="1" applyBorder="1" applyAlignment="1">
      <alignment horizontal="left" vertical="center" wrapText="1"/>
    </xf>
    <xf numFmtId="168" fontId="36" fillId="33" borderId="29" xfId="167" applyNumberFormat="1" applyFont="1" applyFill="1" applyBorder="1" applyAlignment="1">
      <alignment horizontal="center" vertical="center" wrapText="1"/>
    </xf>
    <xf numFmtId="168" fontId="36" fillId="33" borderId="20" xfId="167" applyNumberFormat="1" applyFont="1" applyFill="1" applyBorder="1" applyAlignment="1">
      <alignment horizontal="center" vertical="center" wrapText="1"/>
    </xf>
    <xf numFmtId="168" fontId="36" fillId="33" borderId="11" xfId="167" applyNumberFormat="1" applyFont="1" applyFill="1" applyBorder="1" applyAlignment="1">
      <alignment horizontal="center" vertical="center" wrapText="1"/>
    </xf>
    <xf numFmtId="168" fontId="27" fillId="33" borderId="21" xfId="167" applyNumberFormat="1" applyFont="1" applyFill="1" applyBorder="1" applyAlignment="1">
      <alignment horizontal="left" vertical="center" wrapText="1"/>
    </xf>
    <xf numFmtId="168" fontId="27" fillId="33" borderId="29" xfId="167" applyNumberFormat="1" applyFont="1" applyFill="1" applyBorder="1" applyAlignment="1">
      <alignment horizontal="center" vertical="center" wrapText="1"/>
    </xf>
    <xf numFmtId="168" fontId="27" fillId="33" borderId="11" xfId="167" applyNumberFormat="1" applyFont="1" applyFill="1" applyBorder="1" applyAlignment="1">
      <alignment horizontal="center" vertical="center" wrapText="1"/>
    </xf>
    <xf numFmtId="0" fontId="27" fillId="33" borderId="29" xfId="0" applyFont="1" applyFill="1" applyBorder="1" applyAlignment="1">
      <alignment horizontal="left" vertical="center"/>
    </xf>
    <xf numFmtId="0" fontId="27" fillId="33" borderId="11" xfId="0" applyFont="1" applyFill="1" applyBorder="1" applyAlignment="1">
      <alignment horizontal="left" vertical="center"/>
    </xf>
    <xf numFmtId="168" fontId="27" fillId="33" borderId="29" xfId="167" applyNumberFormat="1" applyFont="1" applyFill="1" applyBorder="1" applyAlignment="1">
      <alignment horizontal="left" vertical="center" wrapText="1"/>
    </xf>
    <xf numFmtId="168" fontId="27" fillId="33" borderId="11" xfId="167" applyNumberFormat="1" applyFont="1" applyFill="1" applyBorder="1" applyAlignment="1">
      <alignment horizontal="left" vertical="center" wrapText="1"/>
    </xf>
    <xf numFmtId="168" fontId="36" fillId="35" borderId="29" xfId="167" applyNumberFormat="1" applyFont="1" applyFill="1" applyBorder="1" applyAlignment="1">
      <alignment horizontal="center" vertical="center" wrapText="1"/>
    </xf>
    <xf numFmtId="168" fontId="36" fillId="35" borderId="20" xfId="167" applyNumberFormat="1" applyFont="1" applyFill="1" applyBorder="1" applyAlignment="1">
      <alignment horizontal="center" vertical="center" wrapText="1"/>
    </xf>
    <xf numFmtId="168" fontId="36" fillId="35" borderId="11" xfId="167" applyNumberFormat="1" applyFont="1" applyFill="1" applyBorder="1" applyAlignment="1">
      <alignment horizontal="center" vertical="center" wrapText="1"/>
    </xf>
    <xf numFmtId="168" fontId="27" fillId="33" borderId="20" xfId="167" applyNumberFormat="1" applyFont="1" applyFill="1" applyBorder="1" applyAlignment="1">
      <alignment horizontal="left" vertical="center" wrapText="1"/>
    </xf>
    <xf numFmtId="168" fontId="36" fillId="35" borderId="21" xfId="167" applyNumberFormat="1" applyFont="1" applyFill="1" applyBorder="1" applyAlignment="1">
      <alignment horizontal="center" vertical="center" wrapText="1"/>
    </xf>
    <xf numFmtId="0" fontId="27" fillId="35" borderId="21" xfId="167" applyFont="1" applyFill="1" applyBorder="1" applyAlignment="1">
      <alignment horizontal="left" vertical="center" wrapText="1"/>
    </xf>
    <xf numFmtId="0" fontId="27" fillId="34" borderId="21" xfId="167" applyFont="1" applyFill="1" applyBorder="1" applyAlignment="1">
      <alignment horizontal="left" vertical="center" wrapText="1"/>
    </xf>
    <xf numFmtId="0" fontId="36" fillId="35" borderId="29" xfId="167" applyFont="1" applyFill="1" applyBorder="1" applyAlignment="1">
      <alignment horizontal="center" vertical="center" wrapText="1"/>
    </xf>
    <xf numFmtId="0" fontId="27" fillId="34" borderId="21" xfId="0" applyFont="1" applyFill="1" applyBorder="1" applyAlignment="1">
      <alignment horizontal="left" vertical="center" wrapText="1"/>
    </xf>
    <xf numFmtId="0" fontId="36" fillId="33" borderId="29" xfId="167" applyFont="1" applyFill="1" applyBorder="1" applyAlignment="1">
      <alignment horizontal="center" vertical="center" wrapText="1"/>
    </xf>
    <xf numFmtId="0" fontId="36" fillId="33" borderId="20" xfId="167" applyFont="1" applyFill="1" applyBorder="1" applyAlignment="1">
      <alignment horizontal="center" vertical="center" wrapText="1"/>
    </xf>
    <xf numFmtId="0" fontId="36" fillId="33" borderId="11" xfId="167" applyFont="1" applyFill="1" applyBorder="1" applyAlignment="1">
      <alignment horizontal="center" vertical="center" wrapText="1"/>
    </xf>
    <xf numFmtId="0" fontId="27" fillId="33" borderId="29" xfId="167" applyFont="1" applyFill="1" applyBorder="1" applyAlignment="1">
      <alignment horizontal="left" vertical="center" wrapText="1"/>
    </xf>
    <xf numFmtId="0" fontId="27" fillId="33" borderId="20" xfId="167" applyFont="1" applyFill="1" applyBorder="1" applyAlignment="1">
      <alignment horizontal="left" vertical="center" wrapText="1"/>
    </xf>
    <xf numFmtId="0" fontId="27" fillId="33" borderId="11" xfId="167" applyFont="1" applyFill="1" applyBorder="1" applyAlignment="1">
      <alignment horizontal="left" vertical="center" wrapText="1"/>
    </xf>
    <xf numFmtId="0" fontId="27" fillId="33" borderId="29" xfId="0" applyFont="1" applyFill="1" applyBorder="1" applyAlignment="1">
      <alignment horizontal="left" vertical="center" wrapText="1"/>
    </xf>
    <xf numFmtId="0" fontId="27" fillId="33" borderId="20" xfId="0" applyFont="1" applyFill="1" applyBorder="1" applyAlignment="1">
      <alignment horizontal="left" vertical="center" wrapText="1"/>
    </xf>
    <xf numFmtId="0" fontId="27" fillId="33" borderId="11" xfId="0" applyFont="1" applyFill="1" applyBorder="1" applyAlignment="1">
      <alignment horizontal="left" vertical="center" wrapText="1"/>
    </xf>
    <xf numFmtId="168" fontId="27" fillId="30" borderId="22" xfId="167" applyNumberFormat="1" applyFont="1" applyFill="1" applyBorder="1" applyAlignment="1">
      <alignment horizontal="center" vertical="center" wrapText="1"/>
    </xf>
    <xf numFmtId="168" fontId="27" fillId="30" borderId="35" xfId="167" applyNumberFormat="1" applyFont="1" applyFill="1" applyBorder="1" applyAlignment="1">
      <alignment horizontal="center" vertical="center" wrapText="1"/>
    </xf>
    <xf numFmtId="168" fontId="27" fillId="30" borderId="28" xfId="167" applyNumberFormat="1" applyFont="1" applyFill="1" applyBorder="1" applyAlignment="1">
      <alignment horizontal="center" vertical="center" wrapText="1"/>
    </xf>
    <xf numFmtId="168" fontId="36" fillId="30" borderId="22" xfId="167" applyNumberFormat="1" applyFont="1" applyFill="1" applyBorder="1" applyAlignment="1">
      <alignment horizontal="center" vertical="center" wrapText="1"/>
    </xf>
    <xf numFmtId="168" fontId="36" fillId="30" borderId="28" xfId="167" applyNumberFormat="1" applyFont="1" applyFill="1" applyBorder="1" applyAlignment="1">
      <alignment horizontal="center" vertical="center" wrapText="1"/>
    </xf>
    <xf numFmtId="168" fontId="27" fillId="34" borderId="29" xfId="167" applyNumberFormat="1" applyFont="1" applyFill="1" applyBorder="1" applyAlignment="1">
      <alignment horizontal="left" vertical="center" wrapText="1"/>
    </xf>
    <xf numFmtId="168" fontId="27" fillId="34" borderId="20" xfId="167" applyNumberFormat="1" applyFont="1" applyFill="1" applyBorder="1" applyAlignment="1">
      <alignment horizontal="left" vertical="center" wrapText="1"/>
    </xf>
    <xf numFmtId="168" fontId="27" fillId="34" borderId="11" xfId="167" applyNumberFormat="1" applyFont="1" applyFill="1" applyBorder="1" applyAlignment="1">
      <alignment horizontal="left" vertical="center" wrapText="1"/>
    </xf>
    <xf numFmtId="168" fontId="36" fillId="34" borderId="29" xfId="167" applyNumberFormat="1" applyFont="1" applyFill="1" applyBorder="1" applyAlignment="1">
      <alignment horizontal="center" vertical="center" wrapText="1"/>
    </xf>
    <xf numFmtId="168" fontId="36" fillId="34" borderId="20" xfId="167" applyNumberFormat="1" applyFont="1" applyFill="1" applyBorder="1" applyAlignment="1">
      <alignment horizontal="center" vertical="center" wrapText="1"/>
    </xf>
    <xf numFmtId="168" fontId="36" fillId="34" borderId="11" xfId="167" applyNumberFormat="1" applyFont="1" applyFill="1" applyBorder="1" applyAlignment="1">
      <alignment horizontal="center" vertical="center" wrapText="1"/>
    </xf>
    <xf numFmtId="168" fontId="27" fillId="34" borderId="29" xfId="167" applyNumberFormat="1" applyFont="1" applyFill="1" applyBorder="1" applyAlignment="1">
      <alignment vertical="center" wrapText="1"/>
    </xf>
    <xf numFmtId="168" fontId="27" fillId="34" borderId="20" xfId="167" applyNumberFormat="1" applyFont="1" applyFill="1" applyBorder="1" applyAlignment="1">
      <alignment vertical="center" wrapText="1"/>
    </xf>
    <xf numFmtId="168" fontId="27" fillId="34" borderId="11" xfId="167" applyNumberFormat="1" applyFont="1" applyFill="1" applyBorder="1" applyAlignment="1">
      <alignment vertical="center" wrapText="1"/>
    </xf>
    <xf numFmtId="0" fontId="27" fillId="34" borderId="20" xfId="0" applyFont="1" applyFill="1" applyBorder="1" applyAlignment="1">
      <alignment horizontal="left" vertical="center" wrapText="1"/>
    </xf>
    <xf numFmtId="0" fontId="27" fillId="33" borderId="9" xfId="167" applyFont="1" applyFill="1" applyBorder="1" applyAlignment="1">
      <alignment horizontal="left" vertical="center" wrapText="1"/>
    </xf>
    <xf numFmtId="0" fontId="27" fillId="33" borderId="40" xfId="167" applyFont="1" applyFill="1" applyBorder="1" applyAlignment="1">
      <alignment horizontal="left" vertical="center" wrapText="1"/>
    </xf>
    <xf numFmtId="0" fontId="27" fillId="33" borderId="37" xfId="167" applyFont="1" applyFill="1" applyBorder="1" applyAlignment="1">
      <alignment horizontal="left" vertical="center" wrapText="1"/>
    </xf>
    <xf numFmtId="168" fontId="36" fillId="30" borderId="21" xfId="167" applyNumberFormat="1" applyFont="1" applyFill="1" applyBorder="1" applyAlignment="1">
      <alignment horizontal="center" vertical="center" wrapText="1"/>
    </xf>
    <xf numFmtId="169" fontId="27" fillId="33" borderId="29" xfId="153" applyNumberFormat="1" applyFont="1" applyFill="1" applyBorder="1" applyAlignment="1">
      <alignment horizontal="center" vertical="center"/>
    </xf>
    <xf numFmtId="169" fontId="27" fillId="33" borderId="11" xfId="153" applyNumberFormat="1" applyFont="1" applyFill="1" applyBorder="1" applyAlignment="1">
      <alignment horizontal="center" vertical="center"/>
    </xf>
    <xf numFmtId="0" fontId="27" fillId="34" borderId="29" xfId="0" applyFont="1" applyFill="1" applyBorder="1" applyAlignment="1">
      <alignment horizontal="center" vertical="center"/>
    </xf>
    <xf numFmtId="0" fontId="27" fillId="34" borderId="20" xfId="0" applyFont="1" applyFill="1" applyBorder="1" applyAlignment="1">
      <alignment horizontal="center" vertical="center"/>
    </xf>
    <xf numFmtId="0" fontId="27" fillId="34" borderId="11" xfId="0" applyFont="1" applyFill="1" applyBorder="1" applyAlignment="1">
      <alignment horizontal="center" vertical="center"/>
    </xf>
    <xf numFmtId="168" fontId="46" fillId="34" borderId="29" xfId="167" applyNumberFormat="1" applyFont="1" applyFill="1" applyBorder="1" applyAlignment="1">
      <alignment horizontal="left" vertical="center" wrapText="1"/>
    </xf>
    <xf numFmtId="168" fontId="46" fillId="34" borderId="20" xfId="167" applyNumberFormat="1" applyFont="1" applyFill="1" applyBorder="1" applyAlignment="1">
      <alignment horizontal="left" vertical="center" wrapText="1"/>
    </xf>
    <xf numFmtId="168" fontId="46" fillId="34" borderId="11" xfId="167" applyNumberFormat="1" applyFont="1" applyFill="1" applyBorder="1" applyAlignment="1">
      <alignment horizontal="left" vertical="center" wrapText="1"/>
    </xf>
    <xf numFmtId="0" fontId="27" fillId="35" borderId="29" xfId="0" applyFont="1" applyFill="1" applyBorder="1" applyAlignment="1">
      <alignment horizontal="left" vertical="center"/>
    </xf>
    <xf numFmtId="0" fontId="27" fillId="35" borderId="20" xfId="0" applyFont="1" applyFill="1" applyBorder="1" applyAlignment="1">
      <alignment horizontal="left" vertical="center"/>
    </xf>
    <xf numFmtId="0" fontId="27" fillId="35" borderId="11" xfId="0" applyFont="1" applyFill="1" applyBorder="1" applyAlignment="1">
      <alignment horizontal="left" vertical="center"/>
    </xf>
    <xf numFmtId="169" fontId="27" fillId="35" borderId="29" xfId="153" applyNumberFormat="1" applyFont="1" applyFill="1" applyBorder="1" applyAlignment="1">
      <alignment horizontal="left" vertical="center"/>
    </xf>
    <xf numFmtId="169" fontId="27" fillId="35" borderId="20" xfId="153" applyNumberFormat="1" applyFont="1" applyFill="1" applyBorder="1" applyAlignment="1">
      <alignment horizontal="left" vertical="center"/>
    </xf>
    <xf numFmtId="169" fontId="27" fillId="35" borderId="11" xfId="153" applyNumberFormat="1" applyFont="1" applyFill="1" applyBorder="1" applyAlignment="1">
      <alignment horizontal="left" vertical="center"/>
    </xf>
    <xf numFmtId="168" fontId="36" fillId="34" borderId="21" xfId="167" applyNumberFormat="1" applyFont="1" applyFill="1" applyBorder="1" applyAlignment="1">
      <alignment horizontal="center" vertical="center" wrapText="1"/>
    </xf>
    <xf numFmtId="2" fontId="27" fillId="34" borderId="29" xfId="167" applyNumberFormat="1" applyFont="1" applyFill="1" applyBorder="1" applyAlignment="1">
      <alignment horizontal="left" vertical="center" wrapText="1"/>
    </xf>
    <xf numFmtId="2" fontId="27" fillId="34" borderId="20" xfId="167" applyNumberFormat="1" applyFont="1" applyFill="1" applyBorder="1" applyAlignment="1">
      <alignment horizontal="left" vertical="center" wrapText="1"/>
    </xf>
    <xf numFmtId="2" fontId="27" fillId="34" borderId="11" xfId="167" applyNumberFormat="1" applyFont="1" applyFill="1" applyBorder="1" applyAlignment="1">
      <alignment horizontal="left" vertical="center" wrapText="1"/>
    </xf>
    <xf numFmtId="2" fontId="27" fillId="33" borderId="29" xfId="167" applyNumberFormat="1" applyFont="1" applyFill="1" applyBorder="1" applyAlignment="1">
      <alignment horizontal="left" vertical="center" wrapText="1"/>
    </xf>
    <xf numFmtId="2" fontId="27" fillId="33" borderId="11" xfId="167" applyNumberFormat="1" applyFont="1" applyFill="1" applyBorder="1" applyAlignment="1">
      <alignment horizontal="left" vertical="center" wrapText="1"/>
    </xf>
    <xf numFmtId="0" fontId="36" fillId="36" borderId="22" xfId="167" applyFont="1" applyFill="1" applyBorder="1" applyAlignment="1">
      <alignment horizontal="center" vertical="center" wrapText="1"/>
    </xf>
    <xf numFmtId="0" fontId="36" fillId="36" borderId="28" xfId="167" applyFont="1" applyFill="1" applyBorder="1" applyAlignment="1">
      <alignment horizontal="center" vertical="center" wrapText="1"/>
    </xf>
    <xf numFmtId="170" fontId="27" fillId="34" borderId="29" xfId="118" applyNumberFormat="1" applyFont="1" applyFill="1" applyBorder="1" applyAlignment="1">
      <alignment horizontal="left" vertical="center" wrapText="1"/>
    </xf>
    <xf numFmtId="170" fontId="27" fillId="34" borderId="11" xfId="118" applyNumberFormat="1" applyFont="1" applyFill="1" applyBorder="1" applyAlignment="1">
      <alignment horizontal="left" vertical="center" wrapText="1"/>
    </xf>
    <xf numFmtId="170" fontId="27" fillId="35" borderId="29" xfId="118" applyNumberFormat="1" applyFont="1" applyFill="1" applyBorder="1" applyAlignment="1">
      <alignment horizontal="left" vertical="center" wrapText="1"/>
    </xf>
    <xf numFmtId="170" fontId="27" fillId="35" borderId="11" xfId="118" applyNumberFormat="1" applyFont="1" applyFill="1" applyBorder="1" applyAlignment="1">
      <alignment horizontal="left" vertical="center" wrapText="1"/>
    </xf>
    <xf numFmtId="170" fontId="27" fillId="35" borderId="29" xfId="118" applyNumberFormat="1" applyFont="1" applyFill="1" applyBorder="1" applyAlignment="1">
      <alignment horizontal="center" vertical="center" wrapText="1"/>
    </xf>
    <xf numFmtId="170" fontId="27" fillId="35" borderId="20" xfId="118" applyNumberFormat="1" applyFont="1" applyFill="1" applyBorder="1" applyAlignment="1">
      <alignment horizontal="center" vertical="center" wrapText="1"/>
    </xf>
    <xf numFmtId="0" fontId="46" fillId="34" borderId="29" xfId="0" applyFont="1" applyFill="1" applyBorder="1" applyAlignment="1">
      <alignment horizontal="left" vertical="center" wrapText="1"/>
    </xf>
    <xf numFmtId="0" fontId="46" fillId="34" borderId="20" xfId="0" applyFont="1" applyFill="1" applyBorder="1" applyAlignment="1">
      <alignment horizontal="left" vertical="center" wrapText="1"/>
    </xf>
    <xf numFmtId="0" fontId="46" fillId="34" borderId="11" xfId="0" applyFont="1" applyFill="1" applyBorder="1" applyAlignment="1">
      <alignment horizontal="left" vertical="center" wrapText="1"/>
    </xf>
    <xf numFmtId="170" fontId="27" fillId="34" borderId="29" xfId="118" applyNumberFormat="1" applyFont="1" applyFill="1" applyBorder="1" applyAlignment="1">
      <alignment horizontal="center" vertical="center"/>
    </xf>
    <xf numFmtId="170" fontId="27" fillId="34" borderId="11" xfId="118" applyNumberFormat="1" applyFont="1" applyFill="1" applyBorder="1" applyAlignment="1">
      <alignment horizontal="center" vertical="center"/>
    </xf>
    <xf numFmtId="170" fontId="27" fillId="34" borderId="39" xfId="118" applyNumberFormat="1" applyFont="1" applyFill="1" applyBorder="1" applyAlignment="1">
      <alignment horizontal="center" vertical="center"/>
    </xf>
    <xf numFmtId="170" fontId="27" fillId="34" borderId="36" xfId="118" applyNumberFormat="1" applyFont="1" applyFill="1" applyBorder="1" applyAlignment="1">
      <alignment horizontal="center" vertical="center"/>
    </xf>
    <xf numFmtId="2" fontId="27" fillId="35" borderId="29" xfId="167" applyNumberFormat="1" applyFont="1" applyFill="1" applyBorder="1" applyAlignment="1">
      <alignment horizontal="left" vertical="center" wrapText="1"/>
    </xf>
    <xf numFmtId="2" fontId="27" fillId="35" borderId="20" xfId="167" applyNumberFormat="1" applyFont="1" applyFill="1" applyBorder="1" applyAlignment="1">
      <alignment horizontal="left" vertical="center" wrapText="1"/>
    </xf>
    <xf numFmtId="168" fontId="27" fillId="35" borderId="29" xfId="167" applyNumberFormat="1" applyFont="1" applyFill="1" applyBorder="1" applyAlignment="1">
      <alignment horizontal="center" vertical="center" wrapText="1"/>
    </xf>
    <xf numFmtId="168" fontId="27" fillId="35" borderId="11" xfId="167" applyNumberFormat="1" applyFont="1" applyFill="1" applyBorder="1" applyAlignment="1">
      <alignment horizontal="center" vertical="center" wrapText="1"/>
    </xf>
    <xf numFmtId="0" fontId="27" fillId="35" borderId="9" xfId="167" applyFont="1" applyFill="1" applyBorder="1" applyAlignment="1">
      <alignment horizontal="left" vertical="center" wrapText="1"/>
    </xf>
    <xf numFmtId="0" fontId="27" fillId="35" borderId="40" xfId="167" applyFont="1" applyFill="1" applyBorder="1" applyAlignment="1">
      <alignment horizontal="left" vertical="center" wrapText="1"/>
    </xf>
    <xf numFmtId="0" fontId="27" fillId="35" borderId="37" xfId="167" applyFont="1" applyFill="1" applyBorder="1" applyAlignment="1">
      <alignment horizontal="left" vertical="center" wrapText="1"/>
    </xf>
    <xf numFmtId="0" fontId="36" fillId="35" borderId="11" xfId="167" applyFont="1" applyFill="1" applyBorder="1" applyAlignment="1">
      <alignment horizontal="left" vertical="center" wrapText="1"/>
    </xf>
    <xf numFmtId="0" fontId="27" fillId="33" borderId="20" xfId="0" applyFont="1" applyFill="1" applyBorder="1" applyAlignment="1">
      <alignment horizontal="center" vertical="center" wrapText="1"/>
    </xf>
    <xf numFmtId="0" fontId="27" fillId="33" borderId="11" xfId="0" applyFont="1" applyFill="1" applyBorder="1" applyAlignment="1">
      <alignment horizontal="center" vertical="center" wrapText="1"/>
    </xf>
    <xf numFmtId="0" fontId="36" fillId="0" borderId="36" xfId="167" applyFont="1" applyBorder="1" applyAlignment="1">
      <alignment horizontal="left" vertical="center" wrapText="1"/>
    </xf>
    <xf numFmtId="0" fontId="27" fillId="35" borderId="21" xfId="0" applyFont="1" applyFill="1" applyBorder="1" applyAlignment="1">
      <alignment horizontal="left" vertical="center" wrapText="1"/>
    </xf>
    <xf numFmtId="170" fontId="27" fillId="35" borderId="29" xfId="118" applyNumberFormat="1" applyFont="1" applyFill="1" applyBorder="1" applyAlignment="1">
      <alignment horizontal="center" vertical="center"/>
    </xf>
    <xf numFmtId="170" fontId="27" fillId="35" borderId="20" xfId="118" applyNumberFormat="1" applyFont="1" applyFill="1" applyBorder="1" applyAlignment="1">
      <alignment horizontal="center" vertical="center"/>
    </xf>
    <xf numFmtId="170" fontId="27" fillId="35" borderId="11" xfId="118" applyNumberFormat="1" applyFont="1" applyFill="1" applyBorder="1" applyAlignment="1">
      <alignment horizontal="center" vertical="center"/>
    </xf>
    <xf numFmtId="0" fontId="36" fillId="25" borderId="39" xfId="167" applyFont="1" applyFill="1" applyBorder="1" applyAlignment="1">
      <alignment horizontal="left" vertical="center" wrapText="1"/>
    </xf>
    <xf numFmtId="0" fontId="36" fillId="25" borderId="41" xfId="167" applyFont="1" applyFill="1" applyBorder="1" applyAlignment="1">
      <alignment horizontal="left" vertical="center" wrapText="1"/>
    </xf>
    <xf numFmtId="0" fontId="48" fillId="0" borderId="36" xfId="0" applyFont="1" applyBorder="1" applyAlignment="1">
      <alignment horizontal="left" vertical="center"/>
    </xf>
    <xf numFmtId="49" fontId="27" fillId="0" borderId="0" xfId="0" applyNumberFormat="1" applyFont="1" applyAlignment="1">
      <alignment horizontal="left" vertical="center" wrapText="1"/>
    </xf>
    <xf numFmtId="0" fontId="27" fillId="35" borderId="29" xfId="0" applyFont="1" applyFill="1" applyBorder="1" applyAlignment="1">
      <alignment horizontal="left" vertical="top" wrapText="1"/>
    </xf>
    <xf numFmtId="0" fontId="27" fillId="35" borderId="20" xfId="0" applyFont="1" applyFill="1" applyBorder="1" applyAlignment="1">
      <alignment horizontal="left" vertical="top" wrapText="1"/>
    </xf>
    <xf numFmtId="0" fontId="27" fillId="35" borderId="11" xfId="0" applyFont="1" applyFill="1" applyBorder="1" applyAlignment="1">
      <alignment horizontal="left" vertical="top" wrapText="1"/>
    </xf>
    <xf numFmtId="0" fontId="20" fillId="33" borderId="29" xfId="0" applyFont="1" applyFill="1" applyBorder="1" applyAlignment="1">
      <alignment horizontal="left" vertical="center" wrapText="1"/>
    </xf>
    <xf numFmtId="0" fontId="20" fillId="33" borderId="11" xfId="0" applyFont="1" applyFill="1" applyBorder="1" applyAlignment="1">
      <alignment horizontal="left" vertical="center" wrapText="1"/>
    </xf>
    <xf numFmtId="0" fontId="46" fillId="33" borderId="29" xfId="0" applyFont="1" applyFill="1" applyBorder="1" applyAlignment="1">
      <alignment horizontal="left" vertical="center" wrapText="1"/>
    </xf>
    <xf numFmtId="0" fontId="46" fillId="33" borderId="20" xfId="0" applyFont="1" applyFill="1" applyBorder="1" applyAlignment="1">
      <alignment horizontal="left" vertical="center" wrapText="1"/>
    </xf>
    <xf numFmtId="0" fontId="46" fillId="33" borderId="11" xfId="0" applyFont="1" applyFill="1" applyBorder="1" applyAlignment="1">
      <alignment horizontal="left" vertical="center" wrapText="1"/>
    </xf>
  </cellXfs>
  <cellStyles count="232">
    <cellStyle name="20% - Accent1 2" xfId="1"/>
    <cellStyle name="20% - Accent1 3" xfId="2"/>
    <cellStyle name="20% - Accent1 4" xfId="3"/>
    <cellStyle name="20% - Accent2 2" xfId="4"/>
    <cellStyle name="20% - Accent2 3" xfId="5"/>
    <cellStyle name="20% - Accent2 4" xfId="6"/>
    <cellStyle name="20% - Accent3 2" xfId="7"/>
    <cellStyle name="20% - Accent3 3" xfId="8"/>
    <cellStyle name="20% - Accent3 4" xfId="9"/>
    <cellStyle name="20% - Accent4 2" xfId="10"/>
    <cellStyle name="20% - Accent4 3" xfId="11"/>
    <cellStyle name="20% - Accent4 4" xfId="12"/>
    <cellStyle name="20% - Accent5 2" xfId="13"/>
    <cellStyle name="20% - Accent5 3" xfId="14"/>
    <cellStyle name="20% - Accent5 4" xfId="15"/>
    <cellStyle name="20% - Accent6 2" xfId="16"/>
    <cellStyle name="20% - Accent6 3" xfId="17"/>
    <cellStyle name="20% - Accent6 4" xfId="18"/>
    <cellStyle name="40% - Accent1 2" xfId="19"/>
    <cellStyle name="40% - Accent1 3" xfId="20"/>
    <cellStyle name="40% - Accent1 4" xfId="21"/>
    <cellStyle name="40% - Accent2 2" xfId="22"/>
    <cellStyle name="40% - Accent2 3" xfId="23"/>
    <cellStyle name="40% - Accent2 4" xfId="24"/>
    <cellStyle name="40% - Accent3 2" xfId="25"/>
    <cellStyle name="40% - Accent3 3" xfId="26"/>
    <cellStyle name="40% - Accent3 4" xfId="27"/>
    <cellStyle name="40% - Accent4 2" xfId="28"/>
    <cellStyle name="40% - Accent4 3" xfId="29"/>
    <cellStyle name="40% - Accent4 4" xfId="30"/>
    <cellStyle name="40% - Accent5 2" xfId="31"/>
    <cellStyle name="40% - Accent5 3" xfId="32"/>
    <cellStyle name="40% - Accent5 4" xfId="33"/>
    <cellStyle name="40% - Accent6 2" xfId="34"/>
    <cellStyle name="40% - Accent6 3" xfId="35"/>
    <cellStyle name="40% - Accent6 4" xfId="36"/>
    <cellStyle name="60% - Accent1 2" xfId="37"/>
    <cellStyle name="60% - Accent1 3" xfId="38"/>
    <cellStyle name="60% - Accent1 4" xfId="39"/>
    <cellStyle name="60% - Accent2 2" xfId="40"/>
    <cellStyle name="60% - Accent2 3" xfId="41"/>
    <cellStyle name="60% - Accent2 4" xfId="42"/>
    <cellStyle name="60% - Accent3 2" xfId="43"/>
    <cellStyle name="60% - Accent3 3" xfId="44"/>
    <cellStyle name="60% - Accent3 4" xfId="45"/>
    <cellStyle name="60% - Accent4 2" xfId="46"/>
    <cellStyle name="60% - Accent4 3" xfId="47"/>
    <cellStyle name="60% - Accent4 4" xfId="48"/>
    <cellStyle name="60% - Accent5 2" xfId="49"/>
    <cellStyle name="60% - Accent5 3" xfId="50"/>
    <cellStyle name="60% - Accent5 4" xfId="51"/>
    <cellStyle name="60% - Accent6 2" xfId="52"/>
    <cellStyle name="60% - Accent6 3" xfId="53"/>
    <cellStyle name="60% - Accent6 4" xfId="54"/>
    <cellStyle name="Accent1 2" xfId="55"/>
    <cellStyle name="Accent1 3" xfId="56"/>
    <cellStyle name="Accent1 4" xfId="57"/>
    <cellStyle name="Accent2 2" xfId="58"/>
    <cellStyle name="Accent2 3" xfId="59"/>
    <cellStyle name="Accent2 4" xfId="60"/>
    <cellStyle name="Accent3 2" xfId="61"/>
    <cellStyle name="Accent3 3" xfId="62"/>
    <cellStyle name="Accent3 4" xfId="63"/>
    <cellStyle name="Accent4 2" xfId="64"/>
    <cellStyle name="Accent4 3" xfId="65"/>
    <cellStyle name="Accent4 4" xfId="66"/>
    <cellStyle name="Accent5 2" xfId="67"/>
    <cellStyle name="Accent5 3" xfId="68"/>
    <cellStyle name="Accent5 4" xfId="69"/>
    <cellStyle name="Accent6 2" xfId="70"/>
    <cellStyle name="Accent6 3" xfId="71"/>
    <cellStyle name="Accent6 4" xfId="72"/>
    <cellStyle name="Bad 2" xfId="73"/>
    <cellStyle name="Bad 3" xfId="74"/>
    <cellStyle name="Bad 4" xfId="75"/>
    <cellStyle name="Calculation 2" xfId="76"/>
    <cellStyle name="Calculation 2 2" xfId="77"/>
    <cellStyle name="Calculation 3" xfId="78"/>
    <cellStyle name="Calculation 3 2" xfId="79"/>
    <cellStyle name="Calculation 4" xfId="80"/>
    <cellStyle name="Calculation 4 2" xfId="81"/>
    <cellStyle name="Check Cell 2" xfId="82"/>
    <cellStyle name="Check Cell 3" xfId="83"/>
    <cellStyle name="Check Cell 4" xfId="84"/>
    <cellStyle name="Comma" xfId="153" builtinId="3"/>
    <cellStyle name="Comma 2" xfId="85"/>
    <cellStyle name="Comma 2 2" xfId="86"/>
    <cellStyle name="Comma 2 2 2" xfId="87"/>
    <cellStyle name="Comma 2 2 3" xfId="88"/>
    <cellStyle name="Comma 2 2 3 2" xfId="89"/>
    <cellStyle name="Comma 2 2 3 2 2" xfId="90"/>
    <cellStyle name="Comma 2 2 3 2 2 2" xfId="91"/>
    <cellStyle name="Comma 2 2 3 2 3" xfId="92"/>
    <cellStyle name="Comma 2 2 3 2 3 2" xfId="93"/>
    <cellStyle name="Comma 2 2 3 2 4" xfId="94"/>
    <cellStyle name="Comma 2 2 4" xfId="95"/>
    <cellStyle name="Comma 2 2 5" xfId="96"/>
    <cellStyle name="Comma 2 3" xfId="97"/>
    <cellStyle name="Comma 2 4" xfId="98"/>
    <cellStyle name="Comma 2 4 2" xfId="99"/>
    <cellStyle name="Comma 2 4 2 2" xfId="100"/>
    <cellStyle name="Comma 2 4 3" xfId="101"/>
    <cellStyle name="Comma 2 5" xfId="102"/>
    <cellStyle name="Comma 2 6" xfId="103"/>
    <cellStyle name="Comma 2 7" xfId="104"/>
    <cellStyle name="Comma 2 7 2" xfId="105"/>
    <cellStyle name="Comma 2 7 3" xfId="106"/>
    <cellStyle name="Comma 2 8" xfId="107"/>
    <cellStyle name="Comma 3" xfId="108"/>
    <cellStyle name="Comma 3 2" xfId="109"/>
    <cellStyle name="Comma 3 2 2" xfId="110"/>
    <cellStyle name="Comma 3 3" xfId="111"/>
    <cellStyle name="Comma 3 4" xfId="112"/>
    <cellStyle name="Comma 4" xfId="113"/>
    <cellStyle name="Comma 4 2" xfId="114"/>
    <cellStyle name="Comma 4 2 2" xfId="115"/>
    <cellStyle name="Comma 4 3" xfId="116"/>
    <cellStyle name="Comma 5" xfId="117"/>
    <cellStyle name="Comma 6" xfId="118"/>
    <cellStyle name="Comma 7" xfId="119"/>
    <cellStyle name="Comma 8" xfId="120"/>
    <cellStyle name="Comma 8 2" xfId="121"/>
    <cellStyle name="Comma 9" xfId="122"/>
    <cellStyle name="Currency 2" xfId="123"/>
    <cellStyle name="Currency 2 2" xfId="124"/>
    <cellStyle name="Currency 3" xfId="125"/>
    <cellStyle name="Explanatory Text 2" xfId="126"/>
    <cellStyle name="Explanatory Text 3" xfId="127"/>
    <cellStyle name="Explanatory Text 4" xfId="128"/>
    <cellStyle name="Good 2" xfId="129"/>
    <cellStyle name="Good 3" xfId="130"/>
    <cellStyle name="Good 4" xfId="131"/>
    <cellStyle name="Heading 1 2" xfId="132"/>
    <cellStyle name="Heading 1 3" xfId="133"/>
    <cellStyle name="Heading 1 4" xfId="134"/>
    <cellStyle name="Heading 2 2" xfId="135"/>
    <cellStyle name="Heading 2 3" xfId="136"/>
    <cellStyle name="Heading 2 4" xfId="137"/>
    <cellStyle name="Heading 3 2" xfId="138"/>
    <cellStyle name="Heading 3 3" xfId="139"/>
    <cellStyle name="Heading 3 4" xfId="140"/>
    <cellStyle name="Heading 4 2" xfId="141"/>
    <cellStyle name="Heading 4 3" xfId="142"/>
    <cellStyle name="Heading 4 4" xfId="143"/>
    <cellStyle name="Input 2" xfId="144"/>
    <cellStyle name="Input 2 2" xfId="145"/>
    <cellStyle name="Input 3" xfId="146"/>
    <cellStyle name="Input 3 2" xfId="147"/>
    <cellStyle name="Input 4" xfId="148"/>
    <cellStyle name="Input 4 2" xfId="149"/>
    <cellStyle name="Linked Cell 2" xfId="150"/>
    <cellStyle name="Linked Cell 3" xfId="151"/>
    <cellStyle name="Linked Cell 4" xfId="152"/>
    <cellStyle name="Neutral 2" xfId="154"/>
    <cellStyle name="Neutral 3" xfId="155"/>
    <cellStyle name="Neutral 4" xfId="156"/>
    <cellStyle name="Normal" xfId="0" builtinId="0"/>
    <cellStyle name="Normal 10" xfId="157"/>
    <cellStyle name="Normal 11" xfId="158"/>
    <cellStyle name="Normal 11 2" xfId="159"/>
    <cellStyle name="Normal 2" xfId="160"/>
    <cellStyle name="Normal 3" xfId="161"/>
    <cellStyle name="Normal 3 2" xfId="162"/>
    <cellStyle name="Normal 3 2 2" xfId="163"/>
    <cellStyle name="Normal 3 2 2 2" xfId="164"/>
    <cellStyle name="Normal 3 2 2 3" xfId="165"/>
    <cellStyle name="Normal 3 2 3" xfId="166"/>
    <cellStyle name="Normal 3 2 3 2" xfId="167"/>
    <cellStyle name="Normal 3 2 3 2 2" xfId="168"/>
    <cellStyle name="Normal 3 2 3 2 3" xfId="169"/>
    <cellStyle name="Normal 3 2 3 2 3 2" xfId="170"/>
    <cellStyle name="Normal 3 2 3 2 4" xfId="171"/>
    <cellStyle name="Normal 3 2 3 2 4 2" xfId="172"/>
    <cellStyle name="Normal 3 2 3 2 5" xfId="173"/>
    <cellStyle name="Normal 3 2 3 2 6" xfId="174"/>
    <cellStyle name="Normal 3 2 3 2 6 2" xfId="175"/>
    <cellStyle name="Normal 3 2 3 2 6 3" xfId="176"/>
    <cellStyle name="Normal 3 2 4" xfId="177"/>
    <cellStyle name="Normal 3 2 5" xfId="178"/>
    <cellStyle name="Normal 3 3" xfId="179"/>
    <cellStyle name="Normal 3 4" xfId="180"/>
    <cellStyle name="Normal 3 4 2" xfId="181"/>
    <cellStyle name="Normal 3 4 2 2" xfId="182"/>
    <cellStyle name="Normal 3 4 3" xfId="183"/>
    <cellStyle name="Normal 3 5" xfId="184"/>
    <cellStyle name="Normal 3 6" xfId="185"/>
    <cellStyle name="Normal 3 6 2" xfId="186"/>
    <cellStyle name="Normal 3 6 3" xfId="187"/>
    <cellStyle name="Normal 3 7" xfId="188"/>
    <cellStyle name="Normal 4" xfId="189"/>
    <cellStyle name="Normal 5" xfId="190"/>
    <cellStyle name="Normal 6" xfId="191"/>
    <cellStyle name="Normal 7" xfId="192"/>
    <cellStyle name="Normal 7 2" xfId="193"/>
    <cellStyle name="Normal 8" xfId="194"/>
    <cellStyle name="Normal 8 2" xfId="195"/>
    <cellStyle name="Normal 9" xfId="196"/>
    <cellStyle name="Normal 9 2" xfId="197"/>
    <cellStyle name="Note 2" xfId="198"/>
    <cellStyle name="Note 2 2" xfId="199"/>
    <cellStyle name="Note 3" xfId="200"/>
    <cellStyle name="Note 3 2" xfId="201"/>
    <cellStyle name="Note 4" xfId="202"/>
    <cellStyle name="Note 4 2" xfId="203"/>
    <cellStyle name="Output 2" xfId="204"/>
    <cellStyle name="Output 2 2" xfId="205"/>
    <cellStyle name="Output 3" xfId="206"/>
    <cellStyle name="Output 3 2" xfId="207"/>
    <cellStyle name="Output 4" xfId="208"/>
    <cellStyle name="Output 4 2" xfId="209"/>
    <cellStyle name="Percent 2" xfId="210"/>
    <cellStyle name="Percent 2 2" xfId="211"/>
    <cellStyle name="Percent 2 3" xfId="212"/>
    <cellStyle name="Percent 3" xfId="213"/>
    <cellStyle name="Percent 3 2" xfId="214"/>
    <cellStyle name="Percent 4" xfId="215"/>
    <cellStyle name="Percent 5" xfId="216"/>
    <cellStyle name="Percent 6" xfId="217"/>
    <cellStyle name="Style 1" xfId="218"/>
    <cellStyle name="Style 1 2" xfId="219"/>
    <cellStyle name="Title 2" xfId="220"/>
    <cellStyle name="Title 3" xfId="221"/>
    <cellStyle name="Title 4" xfId="222"/>
    <cellStyle name="Total 2" xfId="223"/>
    <cellStyle name="Total 2 2" xfId="224"/>
    <cellStyle name="Total 3" xfId="225"/>
    <cellStyle name="Total 3 2" xfId="226"/>
    <cellStyle name="Total 4" xfId="227"/>
    <cellStyle name="Total 4 2" xfId="228"/>
    <cellStyle name="Warning Text 2" xfId="229"/>
    <cellStyle name="Warning Text 3" xfId="230"/>
    <cellStyle name="Warning Text 4" xfId="2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crieru\AppData\Local\Microsoft\Windows\Temporary%20Internet%20Files\Content.Outlook\6Q4PUN0F\UN-REDD%20Personnel%20list_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ebbej\AppData\Local\Temp\notes21E329\UN-REDD%20Personnel%20list_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vahanen\Local%20Settings\Temporary%20Internet%20Files\Content.Outlook\H3T122T9\Allocations%20%25%20per%20work%20area%2015%2012%202010%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17%20-%202020%20Programme%20Documents\2018%20-%202020%20Programming\Financial%20templates\2018%20-%202020%20master%20budget%20sheet%201%20June%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cretariat\Budget%202018-2020\Template%20-%202019%20work%20plan%20and%20budget%20at%20output%20leve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ecrieru\AppData\Local\Microsoft\Windows\Temporary%20Internet%20Files\Content.Outlook\OFP611K3\UNDP%20TA2019%20Workplan%20and%20budget%20at%20output%20level_inputs%2011%20June%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ecrieru\AppData\Local\Microsoft\Windows\Temporary%20Internet%20Files\Content.Outlook\OFP611K3\UNEP%20TA2019%20Workplan%20and%20budget%20at%20output%20level_inputs%2013%20Jun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ecrieru\AppData\Local\Microsoft\Windows\Temporary%20Internet%20Files\Content.Outlook\OFP611K3\2019%20Budget%20analysis%2012%20June%202018%20hidden%202018%20and%2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ecrieru\AppData\Local\Microsoft\Windows\Temporary%20Internet%20Files\Content.Outlook\OFP611K3\UNDP%20KM%20budget%20with%20budget%20addendum%20for%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Consl. List 2015"/>
      <sheetName val="FAO"/>
      <sheetName val="UNDP"/>
      <sheetName val="UNEP"/>
      <sheetName val="Full consl list for MG"/>
      <sheetName val="Sheet3"/>
      <sheetName val="Sheet4"/>
      <sheetName val="Sheet5"/>
      <sheetName val="Sheet1"/>
      <sheetName val="Sheet10"/>
      <sheetName val="Sheet6"/>
      <sheetName val="Summarized List"/>
      <sheetName val="Sheet8"/>
      <sheetName val="Sheet11"/>
      <sheetName val="Summarized List (2)"/>
    </sheetNames>
    <sheetDataSet>
      <sheetData sheetId="0">
        <row r="4">
          <cell r="D4" t="str">
            <v>SNA-GP</v>
          </cell>
          <cell r="G4" t="str">
            <v>ASG</v>
          </cell>
        </row>
        <row r="5">
          <cell r="D5" t="str">
            <v>NP</v>
          </cell>
          <cell r="G5" t="str">
            <v>Director</v>
          </cell>
        </row>
        <row r="6">
          <cell r="D6" t="str">
            <v>JPO funds</v>
          </cell>
          <cell r="G6" t="str">
            <v>Professional Staff</v>
          </cell>
        </row>
        <row r="7">
          <cell r="D7" t="str">
            <v>Other</v>
          </cell>
          <cell r="G7" t="str">
            <v>Support Staff</v>
          </cell>
        </row>
        <row r="8">
          <cell r="G8" t="str">
            <v>Consl.&gt; 6 months</v>
          </cell>
        </row>
        <row r="9">
          <cell r="G9" t="str">
            <v>Consl. &lt; 6 months</v>
          </cell>
        </row>
        <row r="10">
          <cell r="G10" t="str">
            <v>UNV</v>
          </cell>
        </row>
        <row r="11">
          <cell r="G11" t="str">
            <v>Intern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Consl. List 2015"/>
      <sheetName val="FAO"/>
      <sheetName val="UNDP"/>
      <sheetName val="UNEP"/>
      <sheetName val="Full consl list for MG"/>
      <sheetName val="Sheet3"/>
      <sheetName val="Sheet4"/>
      <sheetName val="Sheet5"/>
      <sheetName val="Sheet1"/>
      <sheetName val="Sheet10"/>
      <sheetName val="Sheet6"/>
      <sheetName val="Summarized List"/>
      <sheetName val="Sheet8"/>
      <sheetName val="Sheet11"/>
      <sheetName val="Summarized List (2)"/>
    </sheetNames>
    <sheetDataSet>
      <sheetData sheetId="0">
        <row r="4">
          <cell r="D4" t="str">
            <v>SNA-GP</v>
          </cell>
          <cell r="G4" t="str">
            <v>ASG</v>
          </cell>
        </row>
        <row r="5">
          <cell r="D5" t="str">
            <v>NP</v>
          </cell>
          <cell r="G5" t="str">
            <v>Director</v>
          </cell>
        </row>
        <row r="6">
          <cell r="D6" t="str">
            <v>JPO funds</v>
          </cell>
          <cell r="G6" t="str">
            <v>Professional Staff</v>
          </cell>
        </row>
        <row r="7">
          <cell r="D7" t="str">
            <v>Other</v>
          </cell>
          <cell r="G7" t="str">
            <v>Support Staff</v>
          </cell>
        </row>
        <row r="8">
          <cell r="G8" t="str">
            <v>Consl.&gt; 6 months</v>
          </cell>
        </row>
        <row r="9">
          <cell r="G9" t="str">
            <v>Consl. &lt; 6 months</v>
          </cell>
        </row>
        <row r="10">
          <cell r="G10" t="str">
            <v>UNV</v>
          </cell>
        </row>
        <row r="11">
          <cell r="G11" t="str">
            <v>Intern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P1 chart"/>
      <sheetName val="Global Programme 1"/>
      <sheetName val="GP1 data"/>
      <sheetName val="5 y framework"/>
      <sheetName val="Secretariat"/>
      <sheetName val="Sheet4"/>
      <sheetName val="Sheet1"/>
      <sheetName val="GP1_chart"/>
      <sheetName val="Global_Programme_1"/>
      <sheetName val="GP1_data"/>
      <sheetName val="5_y_framework"/>
    </sheetNames>
    <sheetDataSet>
      <sheetData sheetId="0" refreshError="1"/>
      <sheetData sheetId="1" refreshError="1"/>
      <sheetData sheetId="2">
        <row r="10">
          <cell r="F10">
            <v>6782705.3120833328</v>
          </cell>
        </row>
      </sheetData>
      <sheetData sheetId="3"/>
      <sheetData sheetId="4"/>
      <sheetData sheetId="5"/>
      <sheetData sheetId="6"/>
      <sheetData sheetId="7"/>
      <sheetData sheetId="8"/>
      <sheetData sheetId="9">
        <row r="10">
          <cell r="F10">
            <v>6782705.3120833328</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2)"/>
      <sheetName val="Consl List"/>
      <sheetName val="Consl - Countries"/>
      <sheetName val="Consl 2018-2020 WP &amp; Budget"/>
      <sheetName val="Africa"/>
      <sheetName val="Asia"/>
      <sheetName val="LAC"/>
      <sheetName val="Global Com"/>
      <sheetName val="FAO"/>
      <sheetName val="Global"/>
      <sheetName val="Sheet1"/>
    </sheetNames>
    <sheetDataSet>
      <sheetData sheetId="0" refreshError="1"/>
      <sheetData sheetId="1" refreshError="1"/>
      <sheetData sheetId="2" refreshError="1"/>
      <sheetData sheetId="3" refreshError="1"/>
      <sheetData sheetId="4">
        <row r="5">
          <cell r="G5">
            <v>0</v>
          </cell>
        </row>
        <row r="9">
          <cell r="G9">
            <v>0</v>
          </cell>
        </row>
        <row r="11">
          <cell r="G11">
            <v>0</v>
          </cell>
        </row>
      </sheetData>
      <sheetData sheetId="5">
        <row r="5">
          <cell r="F5">
            <v>0</v>
          </cell>
        </row>
        <row r="9">
          <cell r="F9">
            <v>0</v>
          </cell>
        </row>
        <row r="11">
          <cell r="F11">
            <v>0</v>
          </cell>
        </row>
      </sheetData>
      <sheetData sheetId="6">
        <row r="5">
          <cell r="F5">
            <v>0</v>
          </cell>
        </row>
        <row r="9">
          <cell r="F9">
            <v>0</v>
          </cell>
        </row>
        <row r="11">
          <cell r="F11">
            <v>0</v>
          </cell>
        </row>
      </sheetData>
      <sheetData sheetId="7">
        <row r="5">
          <cell r="F5">
            <v>100000</v>
          </cell>
        </row>
        <row r="9">
          <cell r="F9">
            <v>50000</v>
          </cell>
        </row>
        <row r="11">
          <cell r="F11">
            <v>50000</v>
          </cell>
        </row>
      </sheetData>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sheetName val="Consl - Countries"/>
      <sheetName val="Global"/>
      <sheetName val="Consl  Budget"/>
      <sheetName val="List by Agency"/>
      <sheetName val="2018 - 2020 Budget"/>
      <sheetName val="Cote D' Ivoire"/>
      <sheetName val="Colombia"/>
      <sheetName val="Indonesia"/>
      <sheetName val="Mexico"/>
      <sheetName val="Myanmar"/>
      <sheetName val="Peru"/>
      <sheetName val="Rep of Congo"/>
      <sheetName val="Viet Nam"/>
      <sheetName val="Zambia"/>
      <sheetName val="Cross cutting &amp; comms"/>
      <sheetName val="Finance &amp; Private Sector"/>
      <sheetName val="Landscapes Approach"/>
      <sheetName val="NFMS"/>
      <sheetName val="Paris Agrmt &amp; SDGs"/>
      <sheetName val="REDD+ Funding Mechanism"/>
      <sheetName val="Tenure &amp; IP Rights"/>
      <sheetName val="Sheet1"/>
      <sheetName val="Sheet3"/>
    </sheetNames>
    <sheetDataSet>
      <sheetData sheetId="0"/>
      <sheetData sheetId="1"/>
      <sheetData sheetId="2"/>
      <sheetData sheetId="3"/>
      <sheetData sheetId="4"/>
      <sheetData sheetId="5">
        <row r="3">
          <cell r="I3" t="str">
            <v>UNEP</v>
          </cell>
        </row>
        <row r="18">
          <cell r="G18">
            <v>210151</v>
          </cell>
          <cell r="H18">
            <v>0</v>
          </cell>
          <cell r="I18">
            <v>94000</v>
          </cell>
          <cell r="J18">
            <v>304151</v>
          </cell>
        </row>
        <row r="19">
          <cell r="G19">
            <v>0</v>
          </cell>
          <cell r="H19">
            <v>0</v>
          </cell>
          <cell r="I19">
            <v>467000</v>
          </cell>
          <cell r="J19">
            <v>467000</v>
          </cell>
          <cell r="O19">
            <v>1401000</v>
          </cell>
        </row>
        <row r="20">
          <cell r="G20">
            <v>208943</v>
          </cell>
          <cell r="H20">
            <v>518240</v>
          </cell>
          <cell r="I20">
            <v>0</v>
          </cell>
          <cell r="J20">
            <v>727183</v>
          </cell>
          <cell r="O20">
            <v>2158869</v>
          </cell>
        </row>
        <row r="21">
          <cell r="G21">
            <v>323203</v>
          </cell>
          <cell r="H21">
            <v>0</v>
          </cell>
          <cell r="I21">
            <v>0</v>
          </cell>
          <cell r="J21">
            <v>323203</v>
          </cell>
          <cell r="O21">
            <v>1029609</v>
          </cell>
        </row>
        <row r="22">
          <cell r="G22">
            <v>75000</v>
          </cell>
          <cell r="H22">
            <v>573600</v>
          </cell>
          <cell r="I22">
            <v>0</v>
          </cell>
          <cell r="J22">
            <v>648600</v>
          </cell>
        </row>
        <row r="23">
          <cell r="G23">
            <v>0</v>
          </cell>
          <cell r="H23">
            <v>430200</v>
          </cell>
          <cell r="I23">
            <v>0</v>
          </cell>
          <cell r="J23">
            <v>430200</v>
          </cell>
        </row>
        <row r="24">
          <cell r="C24">
            <v>0</v>
          </cell>
          <cell r="D24">
            <v>0</v>
          </cell>
          <cell r="E24">
            <v>1309000</v>
          </cell>
          <cell r="F24">
            <v>1309000</v>
          </cell>
          <cell r="K24">
            <v>0</v>
          </cell>
          <cell r="L24">
            <v>0</v>
          </cell>
          <cell r="M24">
            <v>1309000</v>
          </cell>
          <cell r="N24">
            <v>1309000</v>
          </cell>
          <cell r="O24">
            <v>3927000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sheetName val="Consl - Countries"/>
      <sheetName val="Global"/>
      <sheetName val="Consl  Budget"/>
      <sheetName val="List by Agency"/>
      <sheetName val="2018 - 2020 Budget"/>
      <sheetName val="Cote d'Ivoire"/>
      <sheetName val="Rep of Congo"/>
      <sheetName val="Ghana"/>
      <sheetName val="Zambia"/>
      <sheetName val="Indonesia"/>
      <sheetName val="Myanmar"/>
      <sheetName val="Viet Nam"/>
      <sheetName val="Colombia"/>
      <sheetName val="Mexico"/>
      <sheetName val="Peru"/>
      <sheetName val="Landscapes Approach"/>
      <sheetName val="Finance &amp; Private Sector"/>
      <sheetName val="Tenure &amp; IP Rights"/>
      <sheetName val="NFMS"/>
      <sheetName val="Paris Agrmt &amp; SDGs"/>
      <sheetName val="Sheet1"/>
      <sheetName val="Sheet3"/>
      <sheetName val="REDD+ Funding Mechanism"/>
      <sheetName val="Cross cutting &amp; comms"/>
    </sheetNames>
    <sheetDataSet>
      <sheetData sheetId="0"/>
      <sheetData sheetId="1"/>
      <sheetData sheetId="2"/>
      <sheetData sheetId="3"/>
      <sheetData sheetId="4"/>
      <sheetData sheetId="5">
        <row r="35">
          <cell r="H35" t="str">
            <v>UNDP</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sheetName val="Consl - Countries"/>
      <sheetName val="Global"/>
      <sheetName val="Consl  Budget"/>
      <sheetName val="List by Agency"/>
      <sheetName val="2018 - 2020 Budget"/>
      <sheetName val="Cote D' Ivoire"/>
      <sheetName val="Rep of Congo"/>
      <sheetName val="Zambia"/>
      <sheetName val="Indonesia"/>
      <sheetName val="Myanmar"/>
      <sheetName val="Viet Nam"/>
      <sheetName val="Colombia"/>
      <sheetName val="Mexico"/>
      <sheetName val="Peru"/>
      <sheetName val="Landscapes Approach"/>
      <sheetName val="Finance &amp; Private Sector"/>
      <sheetName val="Tenure &amp; IP Rights"/>
      <sheetName val="NFMS"/>
      <sheetName val="Paris Agrmt &amp; SDGs"/>
      <sheetName val="REDD+ Funding Mechanism"/>
      <sheetName val="Cross cutting &amp; comms"/>
      <sheetName val="Sheet1"/>
      <sheetName val="Sheet3"/>
    </sheetNames>
    <sheetDataSet>
      <sheetData sheetId="0"/>
      <sheetData sheetId="1"/>
      <sheetData sheetId="2"/>
      <sheetData sheetId="3"/>
      <sheetData sheetId="4"/>
      <sheetData sheetId="5">
        <row r="3">
          <cell r="I3" t="str">
            <v>UNEP</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 - 2020 Budget (2)"/>
    </sheetNames>
    <sheetDataSet>
      <sheetData sheetId="0">
        <row r="6">
          <cell r="F6">
            <v>202402</v>
          </cell>
          <cell r="G6">
            <v>352700</v>
          </cell>
          <cell r="H6">
            <v>95000</v>
          </cell>
          <cell r="N6">
            <v>202402</v>
          </cell>
          <cell r="O6">
            <v>338860</v>
          </cell>
          <cell r="P6">
            <v>95000</v>
          </cell>
          <cell r="Q6">
            <v>636262</v>
          </cell>
          <cell r="R6">
            <v>1816129</v>
          </cell>
        </row>
        <row r="7">
          <cell r="F7">
            <v>240352</v>
          </cell>
          <cell r="G7">
            <v>0</v>
          </cell>
          <cell r="H7">
            <v>0</v>
          </cell>
        </row>
        <row r="9">
          <cell r="F9">
            <v>217583</v>
          </cell>
          <cell r="G9">
            <v>36520</v>
          </cell>
          <cell r="H9">
            <v>94300</v>
          </cell>
        </row>
        <row r="11">
          <cell r="F11">
            <v>442755</v>
          </cell>
          <cell r="G11">
            <v>216620</v>
          </cell>
          <cell r="H11">
            <v>185000</v>
          </cell>
        </row>
        <row r="12">
          <cell r="F12">
            <v>189751</v>
          </cell>
          <cell r="G12">
            <v>171260</v>
          </cell>
          <cell r="H12">
            <v>46000</v>
          </cell>
        </row>
        <row r="13">
          <cell r="F13">
            <v>202402</v>
          </cell>
          <cell r="G13">
            <v>162420</v>
          </cell>
          <cell r="H13">
            <v>0</v>
          </cell>
          <cell r="N13">
            <v>202402</v>
          </cell>
          <cell r="O13">
            <v>148580</v>
          </cell>
          <cell r="P13">
            <v>0</v>
          </cell>
          <cell r="Q13">
            <v>350982</v>
          </cell>
          <cell r="R13">
            <v>1048630</v>
          </cell>
        </row>
        <row r="15">
          <cell r="F15">
            <v>227702</v>
          </cell>
          <cell r="G15">
            <v>244300</v>
          </cell>
          <cell r="H15">
            <v>58903</v>
          </cell>
        </row>
        <row r="16">
          <cell r="F16">
            <v>151801</v>
          </cell>
          <cell r="G16">
            <v>264480</v>
          </cell>
          <cell r="H16">
            <v>85126</v>
          </cell>
          <cell r="N16">
            <v>151801</v>
          </cell>
          <cell r="O16">
            <v>239300</v>
          </cell>
          <cell r="P16">
            <v>85126</v>
          </cell>
          <cell r="Q16">
            <v>476227</v>
          </cell>
          <cell r="R16">
            <v>1453433</v>
          </cell>
        </row>
        <row r="17">
          <cell r="F17">
            <v>113851</v>
          </cell>
          <cell r="G17">
            <v>428240</v>
          </cell>
          <cell r="H17">
            <v>93595</v>
          </cell>
          <cell r="N17">
            <v>113851</v>
          </cell>
          <cell r="O17">
            <v>414400</v>
          </cell>
          <cell r="P17">
            <v>93595</v>
          </cell>
          <cell r="Q17">
            <v>621846</v>
          </cell>
          <cell r="R17">
            <v>1897790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sheetName val="Consl - Countries"/>
      <sheetName val="Global"/>
      <sheetName val="Consl  Budget"/>
      <sheetName val="List by Agency"/>
      <sheetName val="Outcome Budget lines and agency"/>
      <sheetName val="Consolidated budget"/>
      <sheetName val="2019 Comparison"/>
      <sheetName val="Colombia"/>
      <sheetName val="Cote d'Ivoire"/>
      <sheetName val="Indonesia"/>
      <sheetName val="Mexico"/>
      <sheetName val="Myanmar"/>
      <sheetName val="Peru"/>
      <sheetName val="Rep of Congo"/>
      <sheetName val="Viet Nam"/>
      <sheetName val="Zambia"/>
      <sheetName val="Landscapes Approach"/>
      <sheetName val="Financing &amp; Private Sector"/>
      <sheetName val="Tenure &amp; IP Rights"/>
      <sheetName val="NFMS"/>
      <sheetName val="Paris Agrmt &amp; SDGs"/>
      <sheetName val="Sheet1"/>
      <sheetName val="Sheet3"/>
      <sheetName val="REDD+ Funding Mechanism"/>
      <sheetName val="Cross cutting &amp; comms"/>
      <sheetName val="Hoja1"/>
    </sheetNames>
    <sheetDataSet>
      <sheetData sheetId="0"/>
      <sheetData sheetId="1"/>
      <sheetData sheetId="2"/>
      <sheetData sheetId="3"/>
      <sheetData sheetId="4"/>
      <sheetData sheetId="5"/>
      <sheetData sheetId="6"/>
      <sheetData sheetId="7">
        <row r="22">
          <cell r="F22">
            <v>75000</v>
          </cell>
          <cell r="G22">
            <v>573600</v>
          </cell>
          <cell r="H22">
            <v>0</v>
          </cell>
          <cell r="I22">
            <v>648600</v>
          </cell>
        </row>
        <row r="23">
          <cell r="F23">
            <v>0</v>
          </cell>
          <cell r="G23">
            <v>430200</v>
          </cell>
          <cell r="H23">
            <v>0</v>
          </cell>
          <cell r="I23">
            <v>430200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showGridLines="0" zoomScaleNormal="100" workbookViewId="0">
      <selection activeCell="I29" sqref="I29"/>
    </sheetView>
  </sheetViews>
  <sheetFormatPr defaultColWidth="9.1796875" defaultRowHeight="14.5" x14ac:dyDescent="0.35"/>
  <cols>
    <col min="1" max="1" width="9.1796875" style="16"/>
    <col min="2" max="2" width="34.26953125" style="16" customWidth="1"/>
    <col min="3" max="5" width="12.54296875" style="16" bestFit="1" customWidth="1"/>
    <col min="6" max="6" width="11.453125" style="16" bestFit="1" customWidth="1"/>
    <col min="7" max="7" width="9.7265625" style="16" bestFit="1" customWidth="1"/>
    <col min="8" max="16384" width="9.1796875" style="16"/>
  </cols>
  <sheetData>
    <row r="2" spans="2:7" x14ac:dyDescent="0.35">
      <c r="B2" s="15" t="s">
        <v>0</v>
      </c>
      <c r="C2" s="15" t="s">
        <v>1</v>
      </c>
      <c r="D2" s="15" t="s">
        <v>2</v>
      </c>
      <c r="E2" s="15" t="s">
        <v>3</v>
      </c>
      <c r="F2" s="15" t="s">
        <v>4</v>
      </c>
    </row>
    <row r="3" spans="2:7" x14ac:dyDescent="0.35">
      <c r="B3" s="17" t="s">
        <v>5</v>
      </c>
      <c r="C3" s="18">
        <f>C4+C8+C12</f>
        <v>13535348</v>
      </c>
      <c r="D3" s="18">
        <f>D4+D8+D12</f>
        <v>5965793</v>
      </c>
      <c r="E3" s="18">
        <f>E4+E8+E12</f>
        <v>5595780</v>
      </c>
      <c r="F3" s="18">
        <f>F4+F8+F12</f>
        <v>1973775</v>
      </c>
    </row>
    <row r="4" spans="2:7" x14ac:dyDescent="0.35">
      <c r="B4" s="19" t="s">
        <v>6</v>
      </c>
      <c r="C4" s="20">
        <f>SUM(C5:C7)</f>
        <v>3750587</v>
      </c>
      <c r="D4" s="20">
        <f>SUM(D5:D7)</f>
        <v>1981007</v>
      </c>
      <c r="E4" s="20">
        <f>SUM(E5:E7)</f>
        <v>1201680</v>
      </c>
      <c r="F4" s="20">
        <f>SUM(F5:F7)</f>
        <v>567900</v>
      </c>
    </row>
    <row r="5" spans="2:7" x14ac:dyDescent="0.35">
      <c r="B5" s="21" t="s">
        <v>7</v>
      </c>
      <c r="C5" s="22">
        <f>SUM(D5:F5)</f>
        <v>1950305</v>
      </c>
      <c r="D5" s="22">
        <v>607205</v>
      </c>
      <c r="E5" s="22">
        <v>1058100</v>
      </c>
      <c r="F5" s="22">
        <f>95000*3</f>
        <v>285000</v>
      </c>
    </row>
    <row r="6" spans="2:7" x14ac:dyDescent="0.35">
      <c r="B6" s="21" t="s">
        <v>8</v>
      </c>
      <c r="C6" s="22">
        <f t="shared" ref="C6:C15" si="0">SUM(D6:F6)</f>
        <v>721057</v>
      </c>
      <c r="D6" s="22">
        <v>721057</v>
      </c>
      <c r="E6" s="22">
        <v>0</v>
      </c>
      <c r="F6" s="22">
        <v>0</v>
      </c>
    </row>
    <row r="7" spans="2:7" x14ac:dyDescent="0.35">
      <c r="B7" s="21" t="s">
        <v>9</v>
      </c>
      <c r="C7" s="22">
        <f t="shared" si="0"/>
        <v>1079225</v>
      </c>
      <c r="D7" s="22">
        <v>652745</v>
      </c>
      <c r="E7" s="22">
        <v>143580</v>
      </c>
      <c r="F7" s="22">
        <f>94300*3</f>
        <v>282900</v>
      </c>
    </row>
    <row r="8" spans="2:7" x14ac:dyDescent="0.35">
      <c r="B8" s="23" t="s">
        <v>10</v>
      </c>
      <c r="C8" s="24">
        <f>SUM(C9:C11)</f>
        <v>4829784</v>
      </c>
      <c r="D8" s="24">
        <f>SUM(D9:D11)</f>
        <v>2504724</v>
      </c>
      <c r="E8" s="24">
        <f>SUM(E9:E11)</f>
        <v>1632060</v>
      </c>
      <c r="F8" s="24">
        <f>SUM(F9:F11)</f>
        <v>693000</v>
      </c>
    </row>
    <row r="9" spans="2:7" x14ac:dyDescent="0.35">
      <c r="B9" s="21" t="s">
        <v>11</v>
      </c>
      <c r="C9" s="22">
        <f t="shared" si="0"/>
        <v>2533124</v>
      </c>
      <c r="D9" s="22">
        <v>1328264</v>
      </c>
      <c r="E9" s="22">
        <v>649860</v>
      </c>
      <c r="F9" s="22">
        <f>185000*3</f>
        <v>555000</v>
      </c>
    </row>
    <row r="10" spans="2:7" x14ac:dyDescent="0.35">
      <c r="B10" s="21" t="s">
        <v>12</v>
      </c>
      <c r="C10" s="22">
        <f t="shared" si="0"/>
        <v>1243714</v>
      </c>
      <c r="D10" s="22">
        <v>569254</v>
      </c>
      <c r="E10" s="22">
        <v>536460</v>
      </c>
      <c r="F10" s="22">
        <f>46000*3</f>
        <v>138000</v>
      </c>
    </row>
    <row r="11" spans="2:7" x14ac:dyDescent="0.35">
      <c r="B11" s="21" t="s">
        <v>13</v>
      </c>
      <c r="C11" s="22">
        <f t="shared" si="0"/>
        <v>1052946</v>
      </c>
      <c r="D11" s="22">
        <v>607206</v>
      </c>
      <c r="E11" s="22">
        <v>445740</v>
      </c>
      <c r="F11" s="22"/>
    </row>
    <row r="12" spans="2:7" x14ac:dyDescent="0.35">
      <c r="B12" s="23" t="s">
        <v>14</v>
      </c>
      <c r="C12" s="24">
        <f>SUM(C13:C15)</f>
        <v>4954977</v>
      </c>
      <c r="D12" s="24">
        <f>SUM(D13:D15)</f>
        <v>1480062</v>
      </c>
      <c r="E12" s="24">
        <f>SUM(E13:E15)</f>
        <v>2762040</v>
      </c>
      <c r="F12" s="24">
        <f>SUM(F13:F15)</f>
        <v>712875</v>
      </c>
    </row>
    <row r="13" spans="2:7" x14ac:dyDescent="0.35">
      <c r="B13" s="21" t="s">
        <v>15</v>
      </c>
      <c r="C13" s="22">
        <f t="shared" si="0"/>
        <v>1585214</v>
      </c>
      <c r="D13" s="22">
        <v>683105</v>
      </c>
      <c r="E13" s="22">
        <v>725400</v>
      </c>
      <c r="F13" s="22">
        <f>58903*3</f>
        <v>176709</v>
      </c>
    </row>
    <row r="14" spans="2:7" x14ac:dyDescent="0.35">
      <c r="B14" s="21" t="s">
        <v>16</v>
      </c>
      <c r="C14" s="22">
        <f t="shared" si="0"/>
        <v>1504222</v>
      </c>
      <c r="D14" s="22">
        <v>455404</v>
      </c>
      <c r="E14" s="22">
        <v>793440</v>
      </c>
      <c r="F14" s="22">
        <f>85126*3</f>
        <v>255378</v>
      </c>
    </row>
    <row r="15" spans="2:7" x14ac:dyDescent="0.35">
      <c r="B15" s="21" t="s">
        <v>17</v>
      </c>
      <c r="C15" s="22">
        <f t="shared" si="0"/>
        <v>1865541</v>
      </c>
      <c r="D15" s="22">
        <v>341553</v>
      </c>
      <c r="E15" s="22">
        <v>1243200</v>
      </c>
      <c r="F15" s="22">
        <v>280788</v>
      </c>
    </row>
    <row r="16" spans="2:7" x14ac:dyDescent="0.35">
      <c r="B16" s="17" t="s">
        <v>18</v>
      </c>
      <c r="C16" s="25" t="e">
        <f>SUM(C17:C23)</f>
        <v>#REF!</v>
      </c>
      <c r="D16" s="25">
        <f>SUM(D17:D23)</f>
        <v>2511892</v>
      </c>
      <c r="E16" s="25">
        <f>SUM(E17:E23)</f>
        <v>4566120</v>
      </c>
      <c r="F16" s="25" t="e">
        <f>SUM(F17:F23)</f>
        <v>#REF!</v>
      </c>
      <c r="G16" s="26"/>
    </row>
    <row r="17" spans="2:7" x14ac:dyDescent="0.35">
      <c r="B17" s="21" t="s">
        <v>19</v>
      </c>
      <c r="C17" s="27">
        <f>SUM(D17:F17)</f>
        <v>912455</v>
      </c>
      <c r="D17" s="27">
        <v>630455</v>
      </c>
      <c r="E17" s="27"/>
      <c r="F17" s="27">
        <f>94000*3</f>
        <v>282000</v>
      </c>
    </row>
    <row r="18" spans="2:7" x14ac:dyDescent="0.35">
      <c r="B18" s="21" t="s">
        <v>20</v>
      </c>
      <c r="C18" s="27" t="e">
        <f t="shared" ref="C18:C23" si="1">SUM(D18:F18)</f>
        <v>#REF!</v>
      </c>
      <c r="D18" s="27"/>
      <c r="E18" s="27"/>
      <c r="F18" s="27" t="e">
        <f>#REF!</f>
        <v>#REF!</v>
      </c>
    </row>
    <row r="19" spans="2:7" x14ac:dyDescent="0.35">
      <c r="B19" s="21" t="s">
        <v>21</v>
      </c>
      <c r="C19" s="27">
        <f t="shared" si="1"/>
        <v>2158868</v>
      </c>
      <c r="D19" s="27">
        <v>626828</v>
      </c>
      <c r="E19" s="27">
        <v>1532040</v>
      </c>
      <c r="F19" s="27"/>
    </row>
    <row r="20" spans="2:7" x14ac:dyDescent="0.35">
      <c r="B20" s="21" t="s">
        <v>22</v>
      </c>
      <c r="C20" s="27">
        <f t="shared" si="1"/>
        <v>1029609</v>
      </c>
      <c r="D20" s="27">
        <v>1029609</v>
      </c>
      <c r="E20" s="27"/>
      <c r="F20" s="27"/>
    </row>
    <row r="21" spans="2:7" x14ac:dyDescent="0.35">
      <c r="B21" s="21" t="s">
        <v>23</v>
      </c>
      <c r="C21" s="27">
        <f t="shared" si="1"/>
        <v>1957140</v>
      </c>
      <c r="D21" s="27">
        <v>225000</v>
      </c>
      <c r="E21" s="27">
        <v>1732140</v>
      </c>
      <c r="F21" s="27"/>
    </row>
    <row r="22" spans="2:7" x14ac:dyDescent="0.35">
      <c r="B22" s="21" t="s">
        <v>24</v>
      </c>
      <c r="C22" s="27">
        <f t="shared" si="1"/>
        <v>1301940</v>
      </c>
      <c r="D22" s="27"/>
      <c r="E22" s="27">
        <v>1301940</v>
      </c>
      <c r="F22" s="27"/>
    </row>
    <row r="23" spans="2:7" x14ac:dyDescent="0.35">
      <c r="B23" s="21" t="s">
        <v>25</v>
      </c>
      <c r="C23" s="27" t="e">
        <f t="shared" si="1"/>
        <v>#REF!</v>
      </c>
      <c r="D23" s="27">
        <v>0</v>
      </c>
      <c r="E23" s="27"/>
      <c r="F23" s="27" t="e">
        <f>#REF!</f>
        <v>#REF!</v>
      </c>
    </row>
    <row r="24" spans="2:7" x14ac:dyDescent="0.35">
      <c r="B24" s="23" t="s">
        <v>26</v>
      </c>
      <c r="C24" s="28" t="e">
        <f>C16+C12+C8+C4</f>
        <v>#REF!</v>
      </c>
      <c r="D24" s="28">
        <f>D16+D12+D8+D4</f>
        <v>8477685</v>
      </c>
      <c r="E24" s="28">
        <f>E16+E12+E8+E4</f>
        <v>10161900</v>
      </c>
      <c r="F24" s="28" t="e">
        <f>F16+F12+F8+F4</f>
        <v>#REF!</v>
      </c>
    </row>
    <row r="25" spans="2:7" x14ac:dyDescent="0.35">
      <c r="B25" s="29" t="s">
        <v>27</v>
      </c>
      <c r="C25" s="30" t="e">
        <f>C24*0.07</f>
        <v>#REF!</v>
      </c>
      <c r="D25" s="30">
        <f>D24*0.07</f>
        <v>593437.95000000007</v>
      </c>
      <c r="E25" s="30">
        <f>E24*0.07</f>
        <v>711333.00000000012</v>
      </c>
      <c r="F25" s="30" t="e">
        <f>F24*0.07</f>
        <v>#REF!</v>
      </c>
    </row>
    <row r="26" spans="2:7" x14ac:dyDescent="0.35">
      <c r="B26" s="96" t="s">
        <v>28</v>
      </c>
      <c r="C26" s="97" t="e">
        <f>SUM(C24:C25)</f>
        <v>#REF!</v>
      </c>
      <c r="D26" s="97">
        <f>SUM(D24:D25)</f>
        <v>9071122.9499999993</v>
      </c>
      <c r="E26" s="97">
        <f>SUM(E24:E25)</f>
        <v>10873233</v>
      </c>
      <c r="F26" s="97" t="e">
        <f>SUM(F24:F25)</f>
        <v>#REF!</v>
      </c>
    </row>
    <row r="27" spans="2:7" x14ac:dyDescent="0.35">
      <c r="C27" s="31"/>
      <c r="D27" s="32"/>
    </row>
    <row r="28" spans="2:7" x14ac:dyDescent="0.35">
      <c r="C28" s="33"/>
      <c r="D28" s="26"/>
      <c r="E28" s="34"/>
      <c r="F28" s="34"/>
      <c r="G28" s="35"/>
    </row>
    <row r="29" spans="2:7" x14ac:dyDescent="0.35">
      <c r="C29" s="31"/>
      <c r="D29" s="26"/>
    </row>
    <row r="30" spans="2:7" x14ac:dyDescent="0.35">
      <c r="C30" s="26"/>
    </row>
    <row r="31" spans="2:7" x14ac:dyDescent="0.35">
      <c r="E31" s="26"/>
    </row>
  </sheetData>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L123"/>
  <sheetViews>
    <sheetView showGridLines="0" topLeftCell="A34" zoomScale="90" zoomScaleNormal="90" workbookViewId="0">
      <selection activeCell="H74" sqref="H74"/>
    </sheetView>
  </sheetViews>
  <sheetFormatPr defaultColWidth="9.1796875" defaultRowHeight="12" x14ac:dyDescent="0.3"/>
  <cols>
    <col min="1" max="1" width="1.1796875" style="178" customWidth="1"/>
    <col min="2" max="2" width="49.7265625" style="207" customWidth="1"/>
    <col min="3" max="3" width="45.7265625" style="207" customWidth="1"/>
    <col min="4" max="4" width="13.453125" style="207" customWidth="1"/>
    <col min="5" max="5" width="19.453125" style="208" customWidth="1"/>
    <col min="6" max="6" width="15.453125" style="207" customWidth="1"/>
    <col min="7" max="7" width="29.453125" style="178" customWidth="1"/>
    <col min="8" max="16384" width="9.1796875" style="178"/>
  </cols>
  <sheetData>
    <row r="3" spans="2:6" x14ac:dyDescent="0.3">
      <c r="B3" s="137" t="s">
        <v>56</v>
      </c>
      <c r="C3" s="137"/>
      <c r="D3" s="137"/>
      <c r="E3" s="159"/>
      <c r="F3" s="138"/>
    </row>
    <row r="4" spans="2:6" ht="31.5" customHeight="1" x14ac:dyDescent="0.3">
      <c r="B4" s="572" t="s">
        <v>57</v>
      </c>
      <c r="C4" s="572"/>
      <c r="D4" s="572"/>
      <c r="E4" s="572"/>
      <c r="F4" s="572"/>
    </row>
    <row r="5" spans="2:6" ht="27.75" customHeight="1" x14ac:dyDescent="0.3">
      <c r="B5" s="564" t="s">
        <v>58</v>
      </c>
      <c r="C5" s="564" t="s">
        <v>59</v>
      </c>
      <c r="D5" s="564" t="s">
        <v>60</v>
      </c>
      <c r="E5" s="566" t="s">
        <v>61</v>
      </c>
      <c r="F5" s="566"/>
    </row>
    <row r="6" spans="2:6" x14ac:dyDescent="0.3">
      <c r="B6" s="565"/>
      <c r="C6" s="565"/>
      <c r="D6" s="565"/>
      <c r="E6" s="165" t="s">
        <v>31</v>
      </c>
      <c r="F6" s="165" t="s">
        <v>62</v>
      </c>
    </row>
    <row r="7" spans="2:6" ht="41.25" customHeight="1" x14ac:dyDescent="0.3">
      <c r="B7" s="591" t="s">
        <v>237</v>
      </c>
      <c r="C7" s="589" t="s">
        <v>163</v>
      </c>
      <c r="D7" s="548" t="s">
        <v>2</v>
      </c>
      <c r="E7" s="176" t="s">
        <v>32</v>
      </c>
      <c r="F7" s="179">
        <v>137608.49311119973</v>
      </c>
    </row>
    <row r="8" spans="2:6" x14ac:dyDescent="0.3">
      <c r="B8" s="591"/>
      <c r="C8" s="589"/>
      <c r="D8" s="549"/>
      <c r="E8" s="176" t="s">
        <v>36</v>
      </c>
      <c r="F8" s="179">
        <v>15929.598376038031</v>
      </c>
    </row>
    <row r="9" spans="2:6" ht="39.75" customHeight="1" x14ac:dyDescent="0.3">
      <c r="B9" s="591"/>
      <c r="C9" s="164" t="s">
        <v>164</v>
      </c>
      <c r="D9" s="549"/>
      <c r="E9" s="176" t="s">
        <v>37</v>
      </c>
      <c r="F9" s="179">
        <v>8383.4690688936498</v>
      </c>
    </row>
    <row r="10" spans="2:6" x14ac:dyDescent="0.3">
      <c r="B10" s="462" t="s">
        <v>75</v>
      </c>
      <c r="C10" s="462"/>
      <c r="D10" s="462"/>
      <c r="E10" s="462"/>
      <c r="F10" s="463">
        <f>SUM(F7:F9)</f>
        <v>161921.56055613139</v>
      </c>
    </row>
    <row r="11" spans="2:6" ht="40.5" customHeight="1" x14ac:dyDescent="0.3">
      <c r="B11" s="559" t="s">
        <v>63</v>
      </c>
      <c r="C11" s="560"/>
      <c r="D11" s="560"/>
      <c r="E11" s="560"/>
      <c r="F11" s="561"/>
    </row>
    <row r="12" spans="2:6" ht="27.75" customHeight="1" x14ac:dyDescent="0.3">
      <c r="B12" s="564" t="s">
        <v>58</v>
      </c>
      <c r="C12" s="564" t="s">
        <v>59</v>
      </c>
      <c r="D12" s="564" t="s">
        <v>60</v>
      </c>
      <c r="E12" s="566" t="s">
        <v>61</v>
      </c>
      <c r="F12" s="566"/>
    </row>
    <row r="13" spans="2:6" ht="18.75" customHeight="1" x14ac:dyDescent="0.3">
      <c r="B13" s="565"/>
      <c r="C13" s="565"/>
      <c r="D13" s="565"/>
      <c r="E13" s="165" t="s">
        <v>31</v>
      </c>
      <c r="F13" s="165" t="s">
        <v>62</v>
      </c>
    </row>
    <row r="14" spans="2:6" ht="24" x14ac:dyDescent="0.3">
      <c r="B14" s="542" t="s">
        <v>238</v>
      </c>
      <c r="C14" s="180" t="s">
        <v>201</v>
      </c>
      <c r="D14" s="590" t="s">
        <v>3</v>
      </c>
      <c r="E14" s="131" t="s">
        <v>32</v>
      </c>
      <c r="F14" s="148">
        <v>158344.99</v>
      </c>
    </row>
    <row r="15" spans="2:6" x14ac:dyDescent="0.3">
      <c r="B15" s="543"/>
      <c r="C15" s="181" t="s">
        <v>240</v>
      </c>
      <c r="D15" s="540"/>
      <c r="E15" s="545" t="s">
        <v>36</v>
      </c>
      <c r="F15" s="567">
        <v>22000</v>
      </c>
    </row>
    <row r="16" spans="2:6" x14ac:dyDescent="0.3">
      <c r="B16" s="543"/>
      <c r="C16" s="182" t="s">
        <v>199</v>
      </c>
      <c r="D16" s="540"/>
      <c r="E16" s="547"/>
      <c r="F16" s="568"/>
    </row>
    <row r="17" spans="2:12" ht="41.25" customHeight="1" x14ac:dyDescent="0.3">
      <c r="B17" s="544"/>
      <c r="C17" s="182" t="s">
        <v>200</v>
      </c>
      <c r="D17" s="540"/>
      <c r="E17" s="131" t="s">
        <v>37</v>
      </c>
      <c r="F17" s="177">
        <v>7009.3450000000003</v>
      </c>
    </row>
    <row r="18" spans="2:12" x14ac:dyDescent="0.3">
      <c r="B18" s="272" t="s">
        <v>38</v>
      </c>
      <c r="C18" s="272"/>
      <c r="D18" s="272"/>
      <c r="E18" s="272"/>
      <c r="F18" s="273">
        <f>SUM(F14:F17)</f>
        <v>187354.33499999999</v>
      </c>
    </row>
    <row r="19" spans="2:12" ht="24" x14ac:dyDescent="0.3">
      <c r="B19" s="537" t="s">
        <v>239</v>
      </c>
      <c r="C19" s="537" t="s">
        <v>165</v>
      </c>
      <c r="D19" s="548" t="s">
        <v>2</v>
      </c>
      <c r="E19" s="176" t="s">
        <v>32</v>
      </c>
      <c r="F19" s="179">
        <v>34402.123277799932</v>
      </c>
    </row>
    <row r="20" spans="2:12" x14ac:dyDescent="0.3">
      <c r="B20" s="538"/>
      <c r="C20" s="538"/>
      <c r="D20" s="549"/>
      <c r="E20" s="176" t="s">
        <v>36</v>
      </c>
      <c r="F20" s="179">
        <v>3982.3995940095078</v>
      </c>
    </row>
    <row r="21" spans="2:12" ht="24" x14ac:dyDescent="0.3">
      <c r="B21" s="538"/>
      <c r="C21" s="539"/>
      <c r="D21" s="549"/>
      <c r="E21" s="176" t="s">
        <v>37</v>
      </c>
      <c r="F21" s="179">
        <v>2095.8672672234125</v>
      </c>
    </row>
    <row r="22" spans="2:12" x14ac:dyDescent="0.3">
      <c r="B22" s="272" t="s">
        <v>38</v>
      </c>
      <c r="C22" s="272"/>
      <c r="D22" s="272"/>
      <c r="E22" s="272"/>
      <c r="F22" s="273">
        <f>SUM(F19:F21)</f>
        <v>40480.390139032846</v>
      </c>
    </row>
    <row r="23" spans="2:12" ht="36" x14ac:dyDescent="0.3">
      <c r="B23" s="542" t="s">
        <v>64</v>
      </c>
      <c r="C23" s="182" t="s">
        <v>203</v>
      </c>
      <c r="D23" s="590" t="s">
        <v>3</v>
      </c>
      <c r="E23" s="131" t="s">
        <v>32</v>
      </c>
      <c r="F23" s="148">
        <f>316689.98/2</f>
        <v>158344.99</v>
      </c>
    </row>
    <row r="24" spans="2:12" x14ac:dyDescent="0.3">
      <c r="B24" s="543"/>
      <c r="C24" s="588" t="s">
        <v>202</v>
      </c>
      <c r="D24" s="540"/>
      <c r="E24" s="131" t="s">
        <v>36</v>
      </c>
      <c r="F24" s="148">
        <f>44000/2</f>
        <v>22000</v>
      </c>
    </row>
    <row r="25" spans="2:12" ht="24" customHeight="1" x14ac:dyDescent="0.3">
      <c r="B25" s="544"/>
      <c r="C25" s="588"/>
      <c r="D25" s="540"/>
      <c r="E25" s="131" t="s">
        <v>37</v>
      </c>
      <c r="F25" s="177">
        <f>14018.69/2</f>
        <v>7009.3450000000003</v>
      </c>
    </row>
    <row r="26" spans="2:12" x14ac:dyDescent="0.3">
      <c r="B26" s="272" t="s">
        <v>38</v>
      </c>
      <c r="C26" s="272"/>
      <c r="D26" s="272"/>
      <c r="E26" s="272"/>
      <c r="F26" s="273">
        <f>SUM(F23:F25)</f>
        <v>187354.33499999999</v>
      </c>
      <c r="G26" s="183"/>
    </row>
    <row r="27" spans="2:12" ht="33" customHeight="1" x14ac:dyDescent="0.3">
      <c r="B27" s="595" t="s">
        <v>65</v>
      </c>
      <c r="C27" s="598" t="s">
        <v>241</v>
      </c>
      <c r="D27" s="592" t="s">
        <v>4</v>
      </c>
      <c r="E27" s="116" t="s">
        <v>32</v>
      </c>
      <c r="F27" s="184">
        <v>27840</v>
      </c>
    </row>
    <row r="28" spans="2:12" x14ac:dyDescent="0.3">
      <c r="B28" s="596"/>
      <c r="C28" s="599"/>
      <c r="D28" s="593"/>
      <c r="E28" s="116" t="s">
        <v>36</v>
      </c>
      <c r="F28" s="184">
        <v>3000</v>
      </c>
      <c r="H28" s="185"/>
      <c r="I28" s="185"/>
      <c r="J28" s="185"/>
      <c r="K28" s="185"/>
      <c r="L28" s="185"/>
    </row>
    <row r="29" spans="2:12" ht="24" x14ac:dyDescent="0.3">
      <c r="B29" s="597"/>
      <c r="C29" s="600"/>
      <c r="D29" s="594"/>
      <c r="E29" s="116" t="s">
        <v>37</v>
      </c>
      <c r="F29" s="184"/>
      <c r="H29" s="185"/>
      <c r="I29" s="185"/>
      <c r="J29" s="185"/>
      <c r="K29" s="185"/>
      <c r="L29" s="185"/>
    </row>
    <row r="30" spans="2:12" x14ac:dyDescent="0.3">
      <c r="B30" s="272" t="s">
        <v>38</v>
      </c>
      <c r="C30" s="272"/>
      <c r="D30" s="272"/>
      <c r="E30" s="272"/>
      <c r="F30" s="273">
        <f>SUM(F27:F29)</f>
        <v>30840</v>
      </c>
      <c r="H30" s="185"/>
      <c r="I30" s="185"/>
      <c r="J30" s="185"/>
      <c r="K30" s="185"/>
      <c r="L30" s="185"/>
    </row>
    <row r="31" spans="2:12" ht="24" x14ac:dyDescent="0.3">
      <c r="B31" s="595" t="s">
        <v>66</v>
      </c>
      <c r="C31" s="598" t="s">
        <v>204</v>
      </c>
      <c r="D31" s="592" t="s">
        <v>4</v>
      </c>
      <c r="E31" s="116" t="s">
        <v>32</v>
      </c>
      <c r="F31" s="186">
        <v>54160</v>
      </c>
      <c r="H31" s="185"/>
      <c r="I31" s="185"/>
      <c r="J31" s="185"/>
      <c r="K31" s="185"/>
      <c r="L31" s="185"/>
    </row>
    <row r="32" spans="2:12" x14ac:dyDescent="0.3">
      <c r="B32" s="596"/>
      <c r="C32" s="599"/>
      <c r="D32" s="593"/>
      <c r="E32" s="168" t="s">
        <v>36</v>
      </c>
      <c r="F32" s="186">
        <v>5000</v>
      </c>
      <c r="H32" s="185"/>
      <c r="I32" s="185"/>
      <c r="J32" s="185"/>
      <c r="K32" s="185"/>
      <c r="L32" s="185"/>
    </row>
    <row r="33" spans="2:12" ht="24" customHeight="1" x14ac:dyDescent="0.3">
      <c r="B33" s="597"/>
      <c r="C33" s="600"/>
      <c r="D33" s="594"/>
      <c r="E33" s="116" t="s">
        <v>37</v>
      </c>
      <c r="F33" s="184">
        <v>5000</v>
      </c>
      <c r="H33" s="185"/>
      <c r="I33" s="185"/>
      <c r="J33" s="185"/>
      <c r="K33" s="185"/>
      <c r="L33" s="185"/>
    </row>
    <row r="34" spans="2:12" x14ac:dyDescent="0.3">
      <c r="B34" s="272" t="s">
        <v>38</v>
      </c>
      <c r="C34" s="272"/>
      <c r="D34" s="272"/>
      <c r="E34" s="272"/>
      <c r="F34" s="273">
        <f>SUM(F31:F33)</f>
        <v>64160</v>
      </c>
    </row>
    <row r="35" spans="2:12" x14ac:dyDescent="0.3">
      <c r="B35" s="187" t="s">
        <v>75</v>
      </c>
      <c r="C35" s="146"/>
      <c r="D35" s="146"/>
      <c r="E35" s="147"/>
      <c r="F35" s="146">
        <f>F18+F22+F26+F30+F34</f>
        <v>510189.06013903284</v>
      </c>
    </row>
    <row r="36" spans="2:12" x14ac:dyDescent="0.3">
      <c r="B36" s="188" t="s">
        <v>26</v>
      </c>
      <c r="C36" s="188"/>
      <c r="D36" s="188"/>
      <c r="E36" s="189"/>
      <c r="F36" s="190">
        <f>F35+F10</f>
        <v>672110.62069516419</v>
      </c>
      <c r="G36" s="191"/>
    </row>
    <row r="37" spans="2:12" x14ac:dyDescent="0.3">
      <c r="B37" s="192" t="s">
        <v>67</v>
      </c>
      <c r="C37" s="192"/>
      <c r="D37" s="192"/>
      <c r="E37" s="193"/>
      <c r="F37" s="194">
        <f>0.07*F36</f>
        <v>47047.743448661495</v>
      </c>
      <c r="G37" s="191"/>
    </row>
    <row r="38" spans="2:12" x14ac:dyDescent="0.3">
      <c r="B38" s="195" t="s">
        <v>68</v>
      </c>
      <c r="C38" s="188"/>
      <c r="D38" s="188"/>
      <c r="E38" s="189"/>
      <c r="F38" s="190">
        <f>SUM(F36:F37)</f>
        <v>719158.36414382572</v>
      </c>
      <c r="G38" s="191"/>
    </row>
    <row r="40" spans="2:12" x14ac:dyDescent="0.3">
      <c r="B40" s="196" t="s">
        <v>69</v>
      </c>
      <c r="C40" s="196" t="s">
        <v>2</v>
      </c>
      <c r="D40" s="196" t="s">
        <v>3</v>
      </c>
      <c r="E40" s="197" t="s">
        <v>4</v>
      </c>
      <c r="F40" s="196" t="s">
        <v>1</v>
      </c>
    </row>
    <row r="41" spans="2:12" x14ac:dyDescent="0.3">
      <c r="B41" s="141" t="s">
        <v>32</v>
      </c>
      <c r="C41" s="198">
        <f>F7+F19</f>
        <v>172010.61638899965</v>
      </c>
      <c r="D41" s="199">
        <f>F14+F23</f>
        <v>316689.98</v>
      </c>
      <c r="E41" s="200">
        <f>F27+F31</f>
        <v>82000</v>
      </c>
      <c r="F41" s="201">
        <f>SUM(C41:E41)</f>
        <v>570700.59638899961</v>
      </c>
    </row>
    <row r="42" spans="2:12" x14ac:dyDescent="0.3">
      <c r="B42" s="141" t="s">
        <v>36</v>
      </c>
      <c r="C42" s="198">
        <f>F8+F20</f>
        <v>19911.997970047538</v>
      </c>
      <c r="D42" s="199">
        <f>F15+F24</f>
        <v>44000</v>
      </c>
      <c r="E42" s="200">
        <f>F28+F32</f>
        <v>8000</v>
      </c>
      <c r="F42" s="201">
        <f>SUM(C42:E42)</f>
        <v>71911.997970047538</v>
      </c>
    </row>
    <row r="43" spans="2:12" x14ac:dyDescent="0.3">
      <c r="B43" s="142" t="s">
        <v>37</v>
      </c>
      <c r="C43" s="198">
        <f>F9+F21</f>
        <v>10479.336336117063</v>
      </c>
      <c r="D43" s="199">
        <f>F17+F25</f>
        <v>14018.69</v>
      </c>
      <c r="E43" s="200">
        <f>F29+F33</f>
        <v>5000</v>
      </c>
      <c r="F43" s="201">
        <f>SUM(C43:E43)</f>
        <v>29498.026336117066</v>
      </c>
    </row>
    <row r="44" spans="2:12" x14ac:dyDescent="0.3">
      <c r="B44" s="202" t="s">
        <v>26</v>
      </c>
      <c r="C44" s="203">
        <f>SUM(C41:C43)</f>
        <v>202401.95069516427</v>
      </c>
      <c r="D44" s="203">
        <f>SUM(D41:D43)</f>
        <v>374708.67</v>
      </c>
      <c r="E44" s="204">
        <f>SUM(E41:E43)</f>
        <v>95000</v>
      </c>
      <c r="F44" s="203">
        <f>SUM(F41:F43)</f>
        <v>672110.62069516419</v>
      </c>
      <c r="G44" s="467">
        <f>C67+C78</f>
        <v>672110.62069516419</v>
      </c>
    </row>
    <row r="45" spans="2:12" x14ac:dyDescent="0.3">
      <c r="B45" s="192" t="s">
        <v>269</v>
      </c>
      <c r="C45" s="194">
        <f>0.07*C44</f>
        <v>14168.1365486615</v>
      </c>
      <c r="D45" s="194">
        <f>0.07*D44</f>
        <v>26229.606900000002</v>
      </c>
      <c r="E45" s="206">
        <f>0.07*E44</f>
        <v>6650.0000000000009</v>
      </c>
      <c r="F45" s="194">
        <f>0.07*F44</f>
        <v>47047.743448661495</v>
      </c>
    </row>
    <row r="46" spans="2:12" x14ac:dyDescent="0.3">
      <c r="B46" s="464" t="s">
        <v>1</v>
      </c>
      <c r="C46" s="465">
        <f>SUM(C44:C45)</f>
        <v>216570.08724382578</v>
      </c>
      <c r="D46" s="465">
        <f>SUM(D44:D45)</f>
        <v>400938.2769</v>
      </c>
      <c r="E46" s="466">
        <f>SUM(E44:E45)</f>
        <v>101650</v>
      </c>
      <c r="F46" s="465">
        <f>SUM(F44:F45)</f>
        <v>719158.36414382572</v>
      </c>
    </row>
    <row r="47" spans="2:12" ht="13.5" customHeight="1" x14ac:dyDescent="0.3"/>
    <row r="48" spans="2:12" hidden="1" x14ac:dyDescent="0.3">
      <c r="B48" s="209" t="s">
        <v>71</v>
      </c>
    </row>
    <row r="49" spans="2:6" hidden="1" x14ac:dyDescent="0.3">
      <c r="B49" s="196" t="s">
        <v>69</v>
      </c>
      <c r="C49" s="196" t="s">
        <v>2</v>
      </c>
      <c r="D49" s="196" t="s">
        <v>3</v>
      </c>
      <c r="E49" s="197" t="s">
        <v>4</v>
      </c>
      <c r="F49" s="196" t="s">
        <v>1</v>
      </c>
    </row>
    <row r="50" spans="2:6" hidden="1" x14ac:dyDescent="0.3">
      <c r="B50" s="141" t="s">
        <v>32</v>
      </c>
      <c r="C50" s="201">
        <f>F19</f>
        <v>34402.123277799932</v>
      </c>
      <c r="D50" s="194">
        <f t="shared" ref="D50:E52" si="0">D41</f>
        <v>316689.98</v>
      </c>
      <c r="E50" s="210">
        <f t="shared" si="0"/>
        <v>82000</v>
      </c>
      <c r="F50" s="201">
        <f>SUM(C50:E50)</f>
        <v>433092.10327779991</v>
      </c>
    </row>
    <row r="51" spans="2:6" hidden="1" x14ac:dyDescent="0.3">
      <c r="B51" s="141" t="s">
        <v>36</v>
      </c>
      <c r="C51" s="201">
        <f>F20</f>
        <v>3982.3995940095078</v>
      </c>
      <c r="D51" s="194">
        <f t="shared" si="0"/>
        <v>44000</v>
      </c>
      <c r="E51" s="210">
        <f t="shared" si="0"/>
        <v>8000</v>
      </c>
      <c r="F51" s="201">
        <f>SUM(C51:E51)</f>
        <v>55982.399594009505</v>
      </c>
    </row>
    <row r="52" spans="2:6" hidden="1" x14ac:dyDescent="0.3">
      <c r="B52" s="142" t="s">
        <v>37</v>
      </c>
      <c r="C52" s="201">
        <f>F21</f>
        <v>2095.8672672234125</v>
      </c>
      <c r="D52" s="194">
        <f t="shared" si="0"/>
        <v>14018.69</v>
      </c>
      <c r="E52" s="210">
        <f t="shared" si="0"/>
        <v>5000</v>
      </c>
      <c r="F52" s="201">
        <f>SUM(C52:E52)</f>
        <v>21114.557267223412</v>
      </c>
    </row>
    <row r="53" spans="2:6" hidden="1" x14ac:dyDescent="0.3">
      <c r="B53" s="192" t="s">
        <v>26</v>
      </c>
      <c r="C53" s="201">
        <f>SUM(C50:C52)</f>
        <v>40480.390139032846</v>
      </c>
      <c r="D53" s="201">
        <f>SUM(D50:D52)</f>
        <v>374708.67</v>
      </c>
      <c r="E53" s="210">
        <f>SUM(E50:E52)</f>
        <v>95000</v>
      </c>
      <c r="F53" s="201">
        <f>SUM(F50:F52)</f>
        <v>510189.06013903284</v>
      </c>
    </row>
    <row r="54" spans="2:6" hidden="1" x14ac:dyDescent="0.3">
      <c r="B54" s="192" t="s">
        <v>70</v>
      </c>
      <c r="C54" s="194">
        <f>0.07*C53</f>
        <v>2833.6273097322996</v>
      </c>
      <c r="D54" s="194">
        <f>0.07*D53</f>
        <v>26229.606900000002</v>
      </c>
      <c r="E54" s="206">
        <f>0.07*E53</f>
        <v>6650.0000000000009</v>
      </c>
      <c r="F54" s="194">
        <f>0.07*F53</f>
        <v>35713.234209732305</v>
      </c>
    </row>
    <row r="55" spans="2:6" hidden="1" x14ac:dyDescent="0.3">
      <c r="B55" s="211" t="s">
        <v>1</v>
      </c>
      <c r="C55" s="212">
        <f>SUM(C53:C54)</f>
        <v>43314.017448765146</v>
      </c>
      <c r="D55" s="212">
        <f>SUM(D53:D54)</f>
        <v>400938.2769</v>
      </c>
      <c r="E55" s="213">
        <f>SUM(E53:E54)</f>
        <v>101650</v>
      </c>
      <c r="F55" s="212">
        <f>SUM(F53:F54)</f>
        <v>545902.29434876516</v>
      </c>
    </row>
    <row r="56" spans="2:6" ht="12.5" thickBot="1" x14ac:dyDescent="0.35">
      <c r="B56" s="214" t="s">
        <v>186</v>
      </c>
      <c r="C56" s="215">
        <f>'2019 Comparison'!F6</f>
        <v>202402</v>
      </c>
      <c r="D56" s="215">
        <f>'2019 Comparison'!G6</f>
        <v>352700</v>
      </c>
      <c r="E56" s="216">
        <f>'2019 Comparison'!H6</f>
        <v>95000</v>
      </c>
      <c r="F56" s="215">
        <f>SUM(C56:E56)</f>
        <v>650102</v>
      </c>
    </row>
    <row r="57" spans="2:6" ht="12.5" thickTop="1" x14ac:dyDescent="0.3"/>
    <row r="58" spans="2:6" ht="25.5" customHeight="1" x14ac:dyDescent="0.3">
      <c r="B58" s="572" t="s">
        <v>57</v>
      </c>
      <c r="C58" s="572"/>
      <c r="D58" s="572"/>
      <c r="E58" s="572"/>
      <c r="F58" s="572"/>
    </row>
    <row r="59" spans="2:6" x14ac:dyDescent="0.3">
      <c r="B59" s="217" t="s">
        <v>31</v>
      </c>
      <c r="C59" s="218" t="s">
        <v>100</v>
      </c>
      <c r="D59" s="219" t="s">
        <v>2</v>
      </c>
      <c r="E59" s="220" t="s">
        <v>3</v>
      </c>
      <c r="F59" s="219" t="s">
        <v>4</v>
      </c>
    </row>
    <row r="60" spans="2:6" x14ac:dyDescent="0.3">
      <c r="B60" s="192" t="s">
        <v>32</v>
      </c>
      <c r="C60" s="221">
        <f>D60+E60+F60</f>
        <v>137608.49311119973</v>
      </c>
      <c r="D60" s="222">
        <f>+F7</f>
        <v>137608.49311119973</v>
      </c>
      <c r="E60" s="223"/>
      <c r="F60" s="224"/>
    </row>
    <row r="61" spans="2:6" x14ac:dyDescent="0.3">
      <c r="B61" s="192" t="s">
        <v>33</v>
      </c>
      <c r="C61" s="221">
        <f t="shared" ref="C61:C66" si="1">D61+E61+F61</f>
        <v>0</v>
      </c>
      <c r="D61" s="222"/>
      <c r="E61" s="223"/>
      <c r="F61" s="224"/>
    </row>
    <row r="62" spans="2:6" x14ac:dyDescent="0.3">
      <c r="B62" s="193" t="s">
        <v>34</v>
      </c>
      <c r="C62" s="221">
        <f t="shared" si="1"/>
        <v>0</v>
      </c>
      <c r="D62" s="222"/>
      <c r="E62" s="223"/>
      <c r="F62" s="224"/>
    </row>
    <row r="63" spans="2:6" x14ac:dyDescent="0.3">
      <c r="B63" s="192" t="s">
        <v>35</v>
      </c>
      <c r="C63" s="221">
        <f t="shared" si="1"/>
        <v>0</v>
      </c>
      <c r="D63" s="222"/>
      <c r="E63" s="223"/>
      <c r="F63" s="224"/>
    </row>
    <row r="64" spans="2:6" x14ac:dyDescent="0.3">
      <c r="B64" s="192" t="s">
        <v>36</v>
      </c>
      <c r="C64" s="221">
        <f t="shared" si="1"/>
        <v>15929.598376038031</v>
      </c>
      <c r="D64" s="222">
        <f>+F8</f>
        <v>15929.598376038031</v>
      </c>
      <c r="E64" s="223"/>
      <c r="F64" s="224"/>
    </row>
    <row r="65" spans="2:6" x14ac:dyDescent="0.3">
      <c r="B65" s="193" t="s">
        <v>53</v>
      </c>
      <c r="C65" s="221">
        <f t="shared" si="1"/>
        <v>0</v>
      </c>
      <c r="D65" s="222"/>
      <c r="E65" s="223"/>
      <c r="F65" s="224"/>
    </row>
    <row r="66" spans="2:6" x14ac:dyDescent="0.3">
      <c r="B66" s="193" t="s">
        <v>37</v>
      </c>
      <c r="C66" s="221">
        <f t="shared" si="1"/>
        <v>8383.4690688936498</v>
      </c>
      <c r="D66" s="222">
        <f>+F9</f>
        <v>8383.4690688936498</v>
      </c>
      <c r="E66" s="223"/>
      <c r="F66" s="224"/>
    </row>
    <row r="67" spans="2:6" x14ac:dyDescent="0.3">
      <c r="B67" s="140" t="s">
        <v>38</v>
      </c>
      <c r="C67" s="225">
        <f>SUM(C60:C66)</f>
        <v>161921.56055613139</v>
      </c>
      <c r="D67" s="225">
        <f>SUM(D60:D66)</f>
        <v>161921.56055613139</v>
      </c>
      <c r="E67" s="226">
        <f>SUM(E60:E66)</f>
        <v>0</v>
      </c>
      <c r="F67" s="225">
        <f>SUM(F60:F66)</f>
        <v>0</v>
      </c>
    </row>
    <row r="69" spans="2:6" ht="26.25" customHeight="1" x14ac:dyDescent="0.3">
      <c r="B69" s="559" t="s">
        <v>63</v>
      </c>
      <c r="C69" s="560"/>
      <c r="D69" s="560"/>
      <c r="E69" s="560"/>
      <c r="F69" s="561"/>
    </row>
    <row r="70" spans="2:6" x14ac:dyDescent="0.3">
      <c r="B70" s="217" t="s">
        <v>31</v>
      </c>
      <c r="C70" s="218" t="s">
        <v>100</v>
      </c>
      <c r="D70" s="219" t="s">
        <v>2</v>
      </c>
      <c r="E70" s="220" t="s">
        <v>3</v>
      </c>
      <c r="F70" s="219" t="s">
        <v>4</v>
      </c>
    </row>
    <row r="71" spans="2:6" x14ac:dyDescent="0.3">
      <c r="B71" s="192" t="s">
        <v>32</v>
      </c>
      <c r="C71" s="221">
        <f>D71+E71+F71</f>
        <v>433092.10327779991</v>
      </c>
      <c r="D71" s="222">
        <f>+F19</f>
        <v>34402.123277799932</v>
      </c>
      <c r="E71" s="223">
        <f>+F14+F23</f>
        <v>316689.98</v>
      </c>
      <c r="F71" s="224">
        <f>+F27+F31</f>
        <v>82000</v>
      </c>
    </row>
    <row r="72" spans="2:6" x14ac:dyDescent="0.3">
      <c r="B72" s="192" t="s">
        <v>33</v>
      </c>
      <c r="C72" s="221">
        <f t="shared" ref="C72:C77" si="2">D72+E72+F72</f>
        <v>0</v>
      </c>
      <c r="D72" s="222"/>
      <c r="E72" s="223"/>
      <c r="F72" s="224"/>
    </row>
    <row r="73" spans="2:6" x14ac:dyDescent="0.3">
      <c r="B73" s="193" t="s">
        <v>34</v>
      </c>
      <c r="C73" s="221">
        <f t="shared" si="2"/>
        <v>0</v>
      </c>
      <c r="D73" s="222"/>
      <c r="E73" s="223"/>
      <c r="F73" s="224"/>
    </row>
    <row r="74" spans="2:6" x14ac:dyDescent="0.3">
      <c r="B74" s="192" t="s">
        <v>35</v>
      </c>
      <c r="C74" s="221">
        <f t="shared" si="2"/>
        <v>0</v>
      </c>
      <c r="D74" s="222"/>
      <c r="E74" s="223"/>
      <c r="F74" s="224"/>
    </row>
    <row r="75" spans="2:6" x14ac:dyDescent="0.3">
      <c r="B75" s="192" t="s">
        <v>36</v>
      </c>
      <c r="C75" s="221">
        <f t="shared" si="2"/>
        <v>55982.399594009505</v>
      </c>
      <c r="D75" s="222">
        <f>+F20</f>
        <v>3982.3995940095078</v>
      </c>
      <c r="E75" s="223">
        <f>+F15+F24</f>
        <v>44000</v>
      </c>
      <c r="F75" s="224">
        <f>+F28+F32</f>
        <v>8000</v>
      </c>
    </row>
    <row r="76" spans="2:6" x14ac:dyDescent="0.3">
      <c r="B76" s="193" t="s">
        <v>53</v>
      </c>
      <c r="C76" s="221">
        <f t="shared" si="2"/>
        <v>0</v>
      </c>
      <c r="D76" s="222"/>
      <c r="E76" s="223"/>
      <c r="F76" s="224"/>
    </row>
    <row r="77" spans="2:6" x14ac:dyDescent="0.3">
      <c r="B77" s="193" t="s">
        <v>37</v>
      </c>
      <c r="C77" s="221">
        <f t="shared" si="2"/>
        <v>21114.557267223412</v>
      </c>
      <c r="D77" s="222">
        <f>+F21</f>
        <v>2095.8672672234125</v>
      </c>
      <c r="E77" s="223">
        <f>+F25+F17</f>
        <v>14018.69</v>
      </c>
      <c r="F77" s="224">
        <f>F29+F33</f>
        <v>5000</v>
      </c>
    </row>
    <row r="78" spans="2:6" x14ac:dyDescent="0.3">
      <c r="B78" s="140" t="s">
        <v>38</v>
      </c>
      <c r="C78" s="225">
        <f>SUM(C71:C77)</f>
        <v>510189.06013903284</v>
      </c>
      <c r="D78" s="225">
        <f>SUM(D71:D77)</f>
        <v>40480.390139032846</v>
      </c>
      <c r="E78" s="226">
        <f>SUM(E71:E77)</f>
        <v>374708.67</v>
      </c>
      <c r="F78" s="225">
        <f>SUM(F71:F77)</f>
        <v>95000</v>
      </c>
    </row>
    <row r="119" spans="2:6" x14ac:dyDescent="0.3">
      <c r="B119" s="227"/>
    </row>
    <row r="120" spans="2:6" x14ac:dyDescent="0.3">
      <c r="B120" s="227"/>
    </row>
    <row r="121" spans="2:6" x14ac:dyDescent="0.3">
      <c r="B121" s="227"/>
    </row>
    <row r="122" spans="2:6" ht="18.75" customHeight="1" x14ac:dyDescent="0.3"/>
    <row r="123" spans="2:6" ht="409.6" customHeight="1" x14ac:dyDescent="0.3">
      <c r="B123" s="228"/>
      <c r="C123" s="228"/>
      <c r="D123" s="228"/>
      <c r="E123" s="228"/>
      <c r="F123" s="228"/>
    </row>
  </sheetData>
  <mergeCells count="31">
    <mergeCell ref="B69:F69"/>
    <mergeCell ref="B58:F58"/>
    <mergeCell ref="C31:C33"/>
    <mergeCell ref="C27:C29"/>
    <mergeCell ref="D27:D29"/>
    <mergeCell ref="B14:B17"/>
    <mergeCell ref="D31:D33"/>
    <mergeCell ref="B27:B29"/>
    <mergeCell ref="B23:B25"/>
    <mergeCell ref="B31:B33"/>
    <mergeCell ref="C19:C21"/>
    <mergeCell ref="B19:B21"/>
    <mergeCell ref="B4:F4"/>
    <mergeCell ref="B7:B9"/>
    <mergeCell ref="D7:D9"/>
    <mergeCell ref="E5:F5"/>
    <mergeCell ref="E12:F12"/>
    <mergeCell ref="B11:F11"/>
    <mergeCell ref="D12:D13"/>
    <mergeCell ref="B5:B6"/>
    <mergeCell ref="B12:B13"/>
    <mergeCell ref="C12:C13"/>
    <mergeCell ref="E15:E16"/>
    <mergeCell ref="F15:F16"/>
    <mergeCell ref="C24:C25"/>
    <mergeCell ref="D5:D6"/>
    <mergeCell ref="C5:C6"/>
    <mergeCell ref="C7:C8"/>
    <mergeCell ref="D14:D17"/>
    <mergeCell ref="D19:D21"/>
    <mergeCell ref="D23:D25"/>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K68"/>
  <sheetViews>
    <sheetView showGridLines="0" topLeftCell="A31" zoomScale="80" zoomScaleNormal="80" workbookViewId="0">
      <selection activeCell="E18" sqref="E18"/>
    </sheetView>
  </sheetViews>
  <sheetFormatPr defaultColWidth="9.1796875" defaultRowHeight="26.25" customHeight="1" x14ac:dyDescent="0.3"/>
  <cols>
    <col min="1" max="1" width="1.26953125" style="178" customWidth="1"/>
    <col min="2" max="2" width="51.26953125" style="207" customWidth="1"/>
    <col min="3" max="3" width="54.7265625" style="207" customWidth="1"/>
    <col min="4" max="4" width="13.81640625" style="207" customWidth="1"/>
    <col min="5" max="5" width="17.453125" style="208" customWidth="1"/>
    <col min="6" max="6" width="12" style="207" customWidth="1"/>
    <col min="7" max="7" width="20.81640625" style="178" customWidth="1"/>
    <col min="8" max="16384" width="9.1796875" style="178"/>
  </cols>
  <sheetData>
    <row r="1" spans="2:11" ht="12" x14ac:dyDescent="0.3"/>
    <row r="2" spans="2:11" ht="12" x14ac:dyDescent="0.3"/>
    <row r="3" spans="2:11" ht="12" x14ac:dyDescent="0.3">
      <c r="B3" s="137" t="s">
        <v>73</v>
      </c>
      <c r="C3" s="137"/>
      <c r="D3" s="137"/>
      <c r="E3" s="159"/>
      <c r="F3" s="138"/>
    </row>
    <row r="4" spans="2:11" ht="26.25" customHeight="1" x14ac:dyDescent="0.3">
      <c r="B4" s="572" t="s">
        <v>74</v>
      </c>
      <c r="C4" s="572"/>
      <c r="D4" s="572"/>
      <c r="E4" s="572"/>
      <c r="F4" s="572"/>
    </row>
    <row r="5" spans="2:11" ht="26.25" customHeight="1" x14ac:dyDescent="0.3">
      <c r="B5" s="564" t="s">
        <v>58</v>
      </c>
      <c r="C5" s="564" t="s">
        <v>59</v>
      </c>
      <c r="D5" s="564" t="s">
        <v>60</v>
      </c>
      <c r="E5" s="566" t="s">
        <v>61</v>
      </c>
      <c r="F5" s="566"/>
    </row>
    <row r="6" spans="2:11" ht="26.25" customHeight="1" x14ac:dyDescent="0.3">
      <c r="B6" s="565"/>
      <c r="C6" s="565"/>
      <c r="D6" s="565"/>
      <c r="E6" s="165" t="s">
        <v>31</v>
      </c>
      <c r="F6" s="165" t="s">
        <v>62</v>
      </c>
    </row>
    <row r="7" spans="2:11" ht="24" x14ac:dyDescent="0.3">
      <c r="B7" s="551" t="s">
        <v>149</v>
      </c>
      <c r="C7" s="128" t="s">
        <v>170</v>
      </c>
      <c r="D7" s="548" t="s">
        <v>2</v>
      </c>
      <c r="E7" s="170" t="s">
        <v>32</v>
      </c>
      <c r="F7" s="230">
        <v>286106</v>
      </c>
    </row>
    <row r="8" spans="2:11" ht="26.25" customHeight="1" x14ac:dyDescent="0.3">
      <c r="B8" s="615"/>
      <c r="C8" s="551" t="s">
        <v>171</v>
      </c>
      <c r="D8" s="549"/>
      <c r="E8" s="176" t="s">
        <v>36</v>
      </c>
      <c r="F8" s="179">
        <v>35822</v>
      </c>
    </row>
    <row r="9" spans="2:11" ht="51" customHeight="1" x14ac:dyDescent="0.3">
      <c r="B9" s="552"/>
      <c r="C9" s="552"/>
      <c r="D9" s="550"/>
      <c r="E9" s="176" t="s">
        <v>37</v>
      </c>
      <c r="F9" s="179">
        <v>75326</v>
      </c>
    </row>
    <row r="10" spans="2:11" ht="12" x14ac:dyDescent="0.3">
      <c r="B10" s="462" t="s">
        <v>75</v>
      </c>
      <c r="C10" s="462"/>
      <c r="D10" s="462"/>
      <c r="E10" s="462"/>
      <c r="F10" s="463">
        <f>SUM(F7:F9)</f>
        <v>397254</v>
      </c>
    </row>
    <row r="11" spans="2:11" ht="26.25" customHeight="1" x14ac:dyDescent="0.3">
      <c r="B11" s="559" t="s">
        <v>63</v>
      </c>
      <c r="C11" s="560"/>
      <c r="D11" s="560"/>
      <c r="E11" s="560"/>
      <c r="F11" s="561"/>
    </row>
    <row r="12" spans="2:11" ht="26.25" customHeight="1" x14ac:dyDescent="0.3">
      <c r="B12" s="564" t="s">
        <v>58</v>
      </c>
      <c r="C12" s="564" t="s">
        <v>59</v>
      </c>
      <c r="D12" s="564" t="s">
        <v>60</v>
      </c>
      <c r="E12" s="566" t="s">
        <v>61</v>
      </c>
      <c r="F12" s="566"/>
    </row>
    <row r="13" spans="2:11" ht="26.25" customHeight="1" x14ac:dyDescent="0.3">
      <c r="B13" s="565"/>
      <c r="C13" s="565"/>
      <c r="D13" s="565"/>
      <c r="E13" s="165" t="s">
        <v>31</v>
      </c>
      <c r="F13" s="165" t="s">
        <v>62</v>
      </c>
    </row>
    <row r="14" spans="2:11" ht="26.25" customHeight="1" x14ac:dyDescent="0.3">
      <c r="B14" s="616" t="s">
        <v>158</v>
      </c>
      <c r="C14" s="581" t="s">
        <v>116</v>
      </c>
      <c r="D14" s="592" t="s">
        <v>4</v>
      </c>
      <c r="E14" s="116" t="s">
        <v>32</v>
      </c>
      <c r="F14" s="150">
        <v>170000</v>
      </c>
    </row>
    <row r="15" spans="2:11" ht="26.25" customHeight="1" x14ac:dyDescent="0.3">
      <c r="B15" s="617"/>
      <c r="C15" s="582"/>
      <c r="D15" s="593"/>
      <c r="E15" s="598" t="s">
        <v>36</v>
      </c>
      <c r="F15" s="620">
        <v>5000</v>
      </c>
      <c r="H15" s="239"/>
      <c r="I15" s="239"/>
      <c r="J15" s="239"/>
      <c r="K15" s="239"/>
    </row>
    <row r="16" spans="2:11" ht="26.25" customHeight="1" x14ac:dyDescent="0.3">
      <c r="B16" s="617"/>
      <c r="C16" s="240" t="s">
        <v>117</v>
      </c>
      <c r="D16" s="593"/>
      <c r="E16" s="600"/>
      <c r="F16" s="621"/>
    </row>
    <row r="17" spans="2:6" ht="39" customHeight="1" x14ac:dyDescent="0.3">
      <c r="B17" s="617"/>
      <c r="C17" s="240" t="s">
        <v>119</v>
      </c>
      <c r="D17" s="166"/>
      <c r="E17" s="116" t="s">
        <v>37</v>
      </c>
      <c r="F17" s="173">
        <v>10000</v>
      </c>
    </row>
    <row r="18" spans="2:6" ht="12" x14ac:dyDescent="0.3">
      <c r="B18" s="617"/>
      <c r="C18" s="604"/>
      <c r="D18" s="605"/>
      <c r="E18" s="274" t="s">
        <v>38</v>
      </c>
      <c r="F18" s="248">
        <f>SUM(F14:F17)</f>
        <v>185000</v>
      </c>
    </row>
    <row r="19" spans="2:6" ht="26.25" customHeight="1" x14ac:dyDescent="0.3">
      <c r="B19" s="617"/>
      <c r="C19" s="551" t="s">
        <v>120</v>
      </c>
      <c r="D19" s="622" t="s">
        <v>2</v>
      </c>
      <c r="E19" s="176" t="s">
        <v>32</v>
      </c>
      <c r="F19" s="130">
        <v>13800</v>
      </c>
    </row>
    <row r="20" spans="2:6" ht="24.75" customHeight="1" x14ac:dyDescent="0.3">
      <c r="B20" s="617"/>
      <c r="C20" s="615"/>
      <c r="D20" s="623"/>
      <c r="E20" s="176" t="s">
        <v>36</v>
      </c>
      <c r="F20" s="130">
        <v>5000</v>
      </c>
    </row>
    <row r="21" spans="2:6" ht="44.25" customHeight="1" x14ac:dyDescent="0.3">
      <c r="B21" s="617"/>
      <c r="C21" s="552"/>
      <c r="D21" s="624"/>
      <c r="E21" s="176" t="s">
        <v>37</v>
      </c>
      <c r="F21" s="130">
        <v>3500</v>
      </c>
    </row>
    <row r="22" spans="2:6" ht="12" x14ac:dyDescent="0.3">
      <c r="B22" s="618"/>
      <c r="C22" s="619"/>
      <c r="D22" s="619"/>
      <c r="E22" s="274" t="s">
        <v>38</v>
      </c>
      <c r="F22" s="248">
        <f>SUM(F19:F21)</f>
        <v>22300</v>
      </c>
    </row>
    <row r="23" spans="2:6" ht="12" x14ac:dyDescent="0.3">
      <c r="B23" s="314" t="s">
        <v>38</v>
      </c>
      <c r="C23" s="601"/>
      <c r="D23" s="602"/>
      <c r="E23" s="603"/>
      <c r="F23" s="248">
        <f>F22+F18</f>
        <v>207300</v>
      </c>
    </row>
    <row r="24" spans="2:6" ht="26.25" customHeight="1" x14ac:dyDescent="0.3">
      <c r="B24" s="606" t="s">
        <v>246</v>
      </c>
      <c r="C24" s="612" t="s">
        <v>121</v>
      </c>
      <c r="D24" s="609" t="s">
        <v>2</v>
      </c>
      <c r="E24" s="176" t="s">
        <v>32</v>
      </c>
      <c r="F24" s="130">
        <v>14700</v>
      </c>
    </row>
    <row r="25" spans="2:6" ht="26.25" customHeight="1" x14ac:dyDescent="0.3">
      <c r="B25" s="607"/>
      <c r="C25" s="613"/>
      <c r="D25" s="610"/>
      <c r="E25" s="176" t="s">
        <v>36</v>
      </c>
      <c r="F25" s="130">
        <v>5000</v>
      </c>
    </row>
    <row r="26" spans="2:6" ht="42" customHeight="1" x14ac:dyDescent="0.3">
      <c r="B26" s="608"/>
      <c r="C26" s="614"/>
      <c r="D26" s="611"/>
      <c r="E26" s="176" t="s">
        <v>37</v>
      </c>
      <c r="F26" s="130">
        <v>3500</v>
      </c>
    </row>
    <row r="27" spans="2:6" ht="12" x14ac:dyDescent="0.3">
      <c r="B27" s="314" t="s">
        <v>38</v>
      </c>
      <c r="C27" s="248"/>
      <c r="D27" s="314"/>
      <c r="E27" s="274"/>
      <c r="F27" s="248">
        <f>SUM(F24:F26)</f>
        <v>23200</v>
      </c>
    </row>
    <row r="28" spans="2:6" ht="45.75" customHeight="1" x14ac:dyDescent="0.3">
      <c r="B28" s="569" t="s">
        <v>114</v>
      </c>
      <c r="C28" s="241" t="s">
        <v>207</v>
      </c>
      <c r="D28" s="583" t="s">
        <v>3</v>
      </c>
      <c r="E28" s="131" t="s">
        <v>32</v>
      </c>
      <c r="F28" s="158">
        <v>167091.79999999999</v>
      </c>
    </row>
    <row r="29" spans="2:6" ht="26.25" customHeight="1" x14ac:dyDescent="0.3">
      <c r="B29" s="570"/>
      <c r="C29" s="241" t="s">
        <v>205</v>
      </c>
      <c r="D29" s="584"/>
      <c r="E29" s="131" t="s">
        <v>36</v>
      </c>
      <c r="F29" s="158">
        <v>26000</v>
      </c>
    </row>
    <row r="30" spans="2:6" ht="42.75" customHeight="1" x14ac:dyDescent="0.3">
      <c r="B30" s="570"/>
      <c r="C30" s="241" t="s">
        <v>206</v>
      </c>
      <c r="D30" s="584"/>
      <c r="E30" s="131" t="s">
        <v>37</v>
      </c>
      <c r="F30" s="158">
        <v>14018.69</v>
      </c>
    </row>
    <row r="31" spans="2:6" ht="12" x14ac:dyDescent="0.3">
      <c r="B31" s="314" t="s">
        <v>38</v>
      </c>
      <c r="C31" s="134"/>
      <c r="D31" s="314"/>
      <c r="E31" s="274"/>
      <c r="F31" s="248">
        <f>SUM(F28:F30)</f>
        <v>207110.49</v>
      </c>
    </row>
    <row r="32" spans="2:6" ht="12" x14ac:dyDescent="0.3">
      <c r="B32" s="468" t="s">
        <v>75</v>
      </c>
      <c r="C32" s="144"/>
      <c r="D32" s="469"/>
      <c r="E32" s="470"/>
      <c r="F32" s="469">
        <f>F31+F27+F22+F18</f>
        <v>437610.49</v>
      </c>
    </row>
    <row r="33" spans="2:7" ht="12" x14ac:dyDescent="0.3">
      <c r="B33" s="195" t="s">
        <v>26</v>
      </c>
      <c r="C33" s="188"/>
      <c r="D33" s="188"/>
      <c r="E33" s="189"/>
      <c r="F33" s="190">
        <f>F32+F10</f>
        <v>834864.49</v>
      </c>
      <c r="G33" s="191"/>
    </row>
    <row r="34" spans="2:7" ht="12" x14ac:dyDescent="0.3">
      <c r="B34" s="192" t="s">
        <v>67</v>
      </c>
      <c r="C34" s="192"/>
      <c r="D34" s="192"/>
      <c r="E34" s="193"/>
      <c r="F34" s="194">
        <f>0.07*F33</f>
        <v>58440.514300000003</v>
      </c>
      <c r="G34" s="191"/>
    </row>
    <row r="35" spans="2:7" ht="12" x14ac:dyDescent="0.3">
      <c r="B35" s="195" t="s">
        <v>68</v>
      </c>
      <c r="C35" s="188"/>
      <c r="D35" s="188"/>
      <c r="E35" s="189"/>
      <c r="F35" s="190">
        <f>SUM(F33:F34)</f>
        <v>893305.00430000003</v>
      </c>
      <c r="G35" s="191"/>
    </row>
    <row r="37" spans="2:7" ht="26.25" customHeight="1" x14ac:dyDescent="0.3">
      <c r="B37" s="196" t="s">
        <v>69</v>
      </c>
      <c r="C37" s="196" t="s">
        <v>2</v>
      </c>
      <c r="D37" s="196" t="s">
        <v>3</v>
      </c>
      <c r="E37" s="197" t="s">
        <v>4</v>
      </c>
      <c r="F37" s="196" t="s">
        <v>1</v>
      </c>
    </row>
    <row r="38" spans="2:7" ht="12" x14ac:dyDescent="0.3">
      <c r="B38" s="141" t="s">
        <v>32</v>
      </c>
      <c r="C38" s="198">
        <f>F7+F19+F24</f>
        <v>314606</v>
      </c>
      <c r="D38" s="199">
        <f>F28</f>
        <v>167091.79999999999</v>
      </c>
      <c r="E38" s="200">
        <f>F14</f>
        <v>170000</v>
      </c>
      <c r="F38" s="201">
        <f t="shared" ref="F38:F43" si="0">SUM(C38:E38)</f>
        <v>651697.80000000005</v>
      </c>
    </row>
    <row r="39" spans="2:7" ht="12" x14ac:dyDescent="0.3">
      <c r="B39" s="141" t="s">
        <v>36</v>
      </c>
      <c r="C39" s="198">
        <f>F8+F20+F25</f>
        <v>45822</v>
      </c>
      <c r="D39" s="199">
        <f>F29</f>
        <v>26000</v>
      </c>
      <c r="E39" s="200">
        <f>F15</f>
        <v>5000</v>
      </c>
      <c r="F39" s="201">
        <f t="shared" si="0"/>
        <v>76822</v>
      </c>
    </row>
    <row r="40" spans="2:7" ht="12" x14ac:dyDescent="0.3">
      <c r="B40" s="142" t="s">
        <v>37</v>
      </c>
      <c r="C40" s="198">
        <f>F9+F21+F26</f>
        <v>82326</v>
      </c>
      <c r="D40" s="199">
        <f>F30</f>
        <v>14018.69</v>
      </c>
      <c r="E40" s="200">
        <f>F17</f>
        <v>10000</v>
      </c>
      <c r="F40" s="201">
        <f t="shared" si="0"/>
        <v>106344.69</v>
      </c>
    </row>
    <row r="41" spans="2:7" ht="12" x14ac:dyDescent="0.3">
      <c r="B41" s="202" t="s">
        <v>26</v>
      </c>
      <c r="C41" s="203">
        <f>SUM(C38:C40)</f>
        <v>442754</v>
      </c>
      <c r="D41" s="203">
        <f>SUM(D38:D40)</f>
        <v>207110.49</v>
      </c>
      <c r="E41" s="204">
        <f>SUM(E38:E40)</f>
        <v>185000</v>
      </c>
      <c r="F41" s="203">
        <f t="shared" si="0"/>
        <v>834864.49</v>
      </c>
      <c r="G41" s="471">
        <f>C57+C68</f>
        <v>834864.49</v>
      </c>
    </row>
    <row r="42" spans="2:7" ht="12" x14ac:dyDescent="0.3">
      <c r="B42" s="192" t="s">
        <v>269</v>
      </c>
      <c r="C42" s="222">
        <f>0.07*C41</f>
        <v>30992.780000000002</v>
      </c>
      <c r="D42" s="199">
        <f>0.07*D41</f>
        <v>14497.7343</v>
      </c>
      <c r="E42" s="242">
        <f>0.07*E41</f>
        <v>12950.000000000002</v>
      </c>
      <c r="F42" s="201">
        <f t="shared" si="0"/>
        <v>58440.514300000003</v>
      </c>
    </row>
    <row r="43" spans="2:7" ht="12" x14ac:dyDescent="0.3">
      <c r="B43" s="211" t="s">
        <v>1</v>
      </c>
      <c r="C43" s="236">
        <f>SUM(C41:C42)</f>
        <v>473746.78</v>
      </c>
      <c r="D43" s="243">
        <f>SUM(D41:D42)</f>
        <v>221608.2243</v>
      </c>
      <c r="E43" s="244">
        <f>SUM(E41:E42)</f>
        <v>197950</v>
      </c>
      <c r="F43" s="212">
        <f t="shared" si="0"/>
        <v>893305.00430000003</v>
      </c>
    </row>
    <row r="45" spans="2:7" ht="12.5" thickBot="1" x14ac:dyDescent="0.35">
      <c r="B45" s="214" t="s">
        <v>186</v>
      </c>
      <c r="C45" s="215">
        <f>'2019 Comparison'!F10</f>
        <v>442755</v>
      </c>
      <c r="D45" s="215">
        <f>'2019 Comparison'!G10</f>
        <v>216620</v>
      </c>
      <c r="E45" s="216">
        <f>'2019 Comparison'!H10</f>
        <v>185000</v>
      </c>
      <c r="F45" s="215">
        <f>'2019 Comparison'!I10</f>
        <v>844375</v>
      </c>
    </row>
    <row r="46" spans="2:7" ht="26.25" customHeight="1" thickTop="1" x14ac:dyDescent="0.3"/>
    <row r="48" spans="2:7" ht="12" x14ac:dyDescent="0.3">
      <c r="B48" s="572" t="s">
        <v>57</v>
      </c>
      <c r="C48" s="572"/>
      <c r="D48" s="572"/>
      <c r="E48" s="572"/>
      <c r="F48" s="572"/>
    </row>
    <row r="49" spans="2:6" ht="12" x14ac:dyDescent="0.3">
      <c r="B49" s="217" t="s">
        <v>31</v>
      </c>
      <c r="C49" s="218" t="s">
        <v>100</v>
      </c>
      <c r="D49" s="219" t="s">
        <v>2</v>
      </c>
      <c r="E49" s="220" t="s">
        <v>3</v>
      </c>
      <c r="F49" s="219" t="s">
        <v>4</v>
      </c>
    </row>
    <row r="50" spans="2:6" ht="12" x14ac:dyDescent="0.3">
      <c r="B50" s="192" t="s">
        <v>32</v>
      </c>
      <c r="C50" s="221">
        <f>D50+E50+F50</f>
        <v>286106</v>
      </c>
      <c r="D50" s="222">
        <f>F7</f>
        <v>286106</v>
      </c>
      <c r="E50" s="223"/>
      <c r="F50" s="224"/>
    </row>
    <row r="51" spans="2:6" ht="12" x14ac:dyDescent="0.3">
      <c r="B51" s="192" t="s">
        <v>33</v>
      </c>
      <c r="C51" s="221">
        <f t="shared" ref="C51:C56" si="1">D51+E51+F51</f>
        <v>0</v>
      </c>
      <c r="D51" s="222"/>
      <c r="E51" s="223"/>
      <c r="F51" s="224"/>
    </row>
    <row r="52" spans="2:6" ht="12" x14ac:dyDescent="0.3">
      <c r="B52" s="193" t="s">
        <v>34</v>
      </c>
      <c r="C52" s="221">
        <f t="shared" si="1"/>
        <v>0</v>
      </c>
      <c r="D52" s="222"/>
      <c r="E52" s="223"/>
      <c r="F52" s="224"/>
    </row>
    <row r="53" spans="2:6" ht="12" x14ac:dyDescent="0.3">
      <c r="B53" s="192" t="s">
        <v>35</v>
      </c>
      <c r="C53" s="221">
        <f t="shared" si="1"/>
        <v>0</v>
      </c>
      <c r="D53" s="222"/>
      <c r="E53" s="223"/>
      <c r="F53" s="224"/>
    </row>
    <row r="54" spans="2:6" ht="12" x14ac:dyDescent="0.3">
      <c r="B54" s="192" t="s">
        <v>36</v>
      </c>
      <c r="C54" s="221">
        <f t="shared" si="1"/>
        <v>35822</v>
      </c>
      <c r="D54" s="222">
        <f>F8</f>
        <v>35822</v>
      </c>
      <c r="E54" s="223"/>
      <c r="F54" s="224"/>
    </row>
    <row r="55" spans="2:6" ht="12" x14ac:dyDescent="0.3">
      <c r="B55" s="193" t="s">
        <v>53</v>
      </c>
      <c r="C55" s="221">
        <f t="shared" si="1"/>
        <v>0</v>
      </c>
      <c r="D55" s="222"/>
      <c r="E55" s="223"/>
      <c r="F55" s="224"/>
    </row>
    <row r="56" spans="2:6" ht="12" x14ac:dyDescent="0.3">
      <c r="B56" s="193" t="s">
        <v>37</v>
      </c>
      <c r="C56" s="221">
        <f t="shared" si="1"/>
        <v>75326</v>
      </c>
      <c r="D56" s="222">
        <f>F9</f>
        <v>75326</v>
      </c>
      <c r="E56" s="223"/>
      <c r="F56" s="224"/>
    </row>
    <row r="57" spans="2:6" ht="12" x14ac:dyDescent="0.3">
      <c r="B57" s="140" t="s">
        <v>38</v>
      </c>
      <c r="C57" s="225">
        <f>SUM(C50:C56)</f>
        <v>397254</v>
      </c>
      <c r="D57" s="225">
        <f>SUM(D50:D56)</f>
        <v>397254</v>
      </c>
      <c r="E57" s="226">
        <f>SUM(E50:E56)</f>
        <v>0</v>
      </c>
      <c r="F57" s="225">
        <f>SUM(F50:F56)</f>
        <v>0</v>
      </c>
    </row>
    <row r="59" spans="2:6" ht="22.5" customHeight="1" x14ac:dyDescent="0.3">
      <c r="B59" s="559" t="s">
        <v>63</v>
      </c>
      <c r="C59" s="560"/>
      <c r="D59" s="560"/>
      <c r="E59" s="560"/>
      <c r="F59" s="561"/>
    </row>
    <row r="60" spans="2:6" ht="12" x14ac:dyDescent="0.3">
      <c r="B60" s="217" t="s">
        <v>31</v>
      </c>
      <c r="C60" s="218" t="s">
        <v>100</v>
      </c>
      <c r="D60" s="219" t="s">
        <v>2</v>
      </c>
      <c r="E60" s="220" t="s">
        <v>3</v>
      </c>
      <c r="F60" s="219" t="s">
        <v>4</v>
      </c>
    </row>
    <row r="61" spans="2:6" ht="12" x14ac:dyDescent="0.3">
      <c r="B61" s="192" t="s">
        <v>32</v>
      </c>
      <c r="C61" s="221">
        <f>D61+E61+F61</f>
        <v>365591.8</v>
      </c>
      <c r="D61" s="222">
        <f>F19+F24</f>
        <v>28500</v>
      </c>
      <c r="E61" s="223">
        <f>F28</f>
        <v>167091.79999999999</v>
      </c>
      <c r="F61" s="224">
        <f>+E38</f>
        <v>170000</v>
      </c>
    </row>
    <row r="62" spans="2:6" ht="12" x14ac:dyDescent="0.3">
      <c r="B62" s="192" t="s">
        <v>33</v>
      </c>
      <c r="C62" s="221">
        <f t="shared" ref="C62:C67" si="2">D62+E62+F62</f>
        <v>0</v>
      </c>
      <c r="D62" s="222"/>
      <c r="E62" s="223"/>
      <c r="F62" s="224"/>
    </row>
    <row r="63" spans="2:6" ht="12" x14ac:dyDescent="0.3">
      <c r="B63" s="193" t="s">
        <v>34</v>
      </c>
      <c r="C63" s="221">
        <f t="shared" si="2"/>
        <v>0</v>
      </c>
      <c r="D63" s="222"/>
      <c r="E63" s="223"/>
      <c r="F63" s="224"/>
    </row>
    <row r="64" spans="2:6" ht="12" x14ac:dyDescent="0.3">
      <c r="B64" s="192" t="s">
        <v>35</v>
      </c>
      <c r="C64" s="221">
        <f t="shared" si="2"/>
        <v>0</v>
      </c>
      <c r="D64" s="222"/>
      <c r="E64" s="223"/>
      <c r="F64" s="224"/>
    </row>
    <row r="65" spans="2:6" ht="12" x14ac:dyDescent="0.3">
      <c r="B65" s="192" t="s">
        <v>36</v>
      </c>
      <c r="C65" s="221">
        <f t="shared" si="2"/>
        <v>41000</v>
      </c>
      <c r="D65" s="222">
        <f>F25+F20</f>
        <v>10000</v>
      </c>
      <c r="E65" s="223">
        <f>F29</f>
        <v>26000</v>
      </c>
      <c r="F65" s="224">
        <f>+E39</f>
        <v>5000</v>
      </c>
    </row>
    <row r="66" spans="2:6" ht="12" x14ac:dyDescent="0.3">
      <c r="B66" s="193" t="s">
        <v>53</v>
      </c>
      <c r="C66" s="221">
        <f t="shared" si="2"/>
        <v>0</v>
      </c>
      <c r="D66" s="222"/>
      <c r="E66" s="223"/>
      <c r="F66" s="224"/>
    </row>
    <row r="67" spans="2:6" ht="12" x14ac:dyDescent="0.3">
      <c r="B67" s="193" t="s">
        <v>37</v>
      </c>
      <c r="C67" s="221">
        <f t="shared" si="2"/>
        <v>31018.690000000002</v>
      </c>
      <c r="D67" s="222">
        <f>F26+F21</f>
        <v>7000</v>
      </c>
      <c r="E67" s="223">
        <f>F30</f>
        <v>14018.69</v>
      </c>
      <c r="F67" s="224">
        <f>+E40</f>
        <v>10000</v>
      </c>
    </row>
    <row r="68" spans="2:6" ht="12" x14ac:dyDescent="0.3">
      <c r="B68" s="140" t="s">
        <v>38</v>
      </c>
      <c r="C68" s="225">
        <f>SUM(C61:C67)</f>
        <v>437610.49</v>
      </c>
      <c r="D68" s="225">
        <f>SUM(D61:D67)</f>
        <v>45500</v>
      </c>
      <c r="E68" s="226">
        <f>SUM(E61:E67)</f>
        <v>207110.49</v>
      </c>
      <c r="F68" s="225">
        <f>SUM(F61:F67)</f>
        <v>185000</v>
      </c>
    </row>
  </sheetData>
  <mergeCells count="30">
    <mergeCell ref="D19:D21"/>
    <mergeCell ref="B4:F4"/>
    <mergeCell ref="E5:F5"/>
    <mergeCell ref="B11:F11"/>
    <mergeCell ref="B12:B13"/>
    <mergeCell ref="C12:C13"/>
    <mergeCell ref="D12:D13"/>
    <mergeCell ref="D7:D9"/>
    <mergeCell ref="B5:B6"/>
    <mergeCell ref="C5:C6"/>
    <mergeCell ref="D5:D6"/>
    <mergeCell ref="B7:B9"/>
    <mergeCell ref="E12:F12"/>
    <mergeCell ref="C8:C9"/>
    <mergeCell ref="C23:E23"/>
    <mergeCell ref="C18:D18"/>
    <mergeCell ref="B59:F59"/>
    <mergeCell ref="B48:F48"/>
    <mergeCell ref="B28:B30"/>
    <mergeCell ref="D28:D30"/>
    <mergeCell ref="B24:B26"/>
    <mergeCell ref="D24:D26"/>
    <mergeCell ref="C24:C26"/>
    <mergeCell ref="B14:B22"/>
    <mergeCell ref="C22:D22"/>
    <mergeCell ref="F15:F16"/>
    <mergeCell ref="D14:D16"/>
    <mergeCell ref="C14:C15"/>
    <mergeCell ref="E15:E16"/>
    <mergeCell ref="C19:C21"/>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G68"/>
  <sheetViews>
    <sheetView showGridLines="0" topLeftCell="A25" zoomScale="80" zoomScaleNormal="80" workbookViewId="0">
      <selection activeCell="F31" sqref="F31"/>
    </sheetView>
  </sheetViews>
  <sheetFormatPr defaultColWidth="9.1796875" defaultRowHeight="12" x14ac:dyDescent="0.3"/>
  <cols>
    <col min="1" max="1" width="1.54296875" style="178" customWidth="1"/>
    <col min="2" max="2" width="37.54296875" style="207" customWidth="1"/>
    <col min="3" max="3" width="67.1796875" style="207" customWidth="1"/>
    <col min="4" max="4" width="15.1796875" style="207" customWidth="1"/>
    <col min="5" max="5" width="26.81640625" style="207" customWidth="1"/>
    <col min="6" max="6" width="15.453125" style="207" customWidth="1"/>
    <col min="7" max="7" width="19.453125" style="178" customWidth="1"/>
    <col min="8" max="16384" width="9.1796875" style="178"/>
  </cols>
  <sheetData>
    <row r="2" spans="2:6" x14ac:dyDescent="0.3">
      <c r="B2" s="137" t="s">
        <v>102</v>
      </c>
      <c r="C2" s="137"/>
      <c r="D2" s="137"/>
      <c r="E2" s="137"/>
      <c r="F2" s="138"/>
    </row>
    <row r="3" spans="2:6" ht="38.25" customHeight="1" x14ac:dyDescent="0.3">
      <c r="B3" s="559" t="s">
        <v>63</v>
      </c>
      <c r="C3" s="560"/>
      <c r="D3" s="560"/>
      <c r="E3" s="560"/>
      <c r="F3" s="561"/>
    </row>
    <row r="4" spans="2:6" x14ac:dyDescent="0.3">
      <c r="B4" s="562" t="s">
        <v>58</v>
      </c>
      <c r="C4" s="564" t="s">
        <v>59</v>
      </c>
      <c r="D4" s="564" t="s">
        <v>60</v>
      </c>
      <c r="E4" s="566" t="s">
        <v>61</v>
      </c>
      <c r="F4" s="566"/>
    </row>
    <row r="5" spans="2:6" x14ac:dyDescent="0.3">
      <c r="B5" s="563"/>
      <c r="C5" s="565"/>
      <c r="D5" s="565"/>
      <c r="E5" s="165" t="s">
        <v>31</v>
      </c>
      <c r="F5" s="165" t="s">
        <v>62</v>
      </c>
    </row>
    <row r="6" spans="2:6" ht="18" customHeight="1" x14ac:dyDescent="0.3">
      <c r="B6" s="542" t="s">
        <v>115</v>
      </c>
      <c r="C6" s="131" t="s">
        <v>293</v>
      </c>
      <c r="D6" s="540" t="s">
        <v>3</v>
      </c>
      <c r="E6" s="133" t="s">
        <v>32</v>
      </c>
      <c r="F6" s="148">
        <v>182346.67</v>
      </c>
    </row>
    <row r="7" spans="2:6" ht="25" customHeight="1" x14ac:dyDescent="0.3">
      <c r="B7" s="543"/>
      <c r="C7" s="489" t="s">
        <v>294</v>
      </c>
      <c r="D7" s="540"/>
      <c r="E7" s="628" t="s">
        <v>36</v>
      </c>
      <c r="F7" s="631">
        <v>22000</v>
      </c>
    </row>
    <row r="8" spans="2:6" ht="22.5" customHeight="1" x14ac:dyDescent="0.3">
      <c r="B8" s="543"/>
      <c r="C8" s="486" t="s">
        <v>295</v>
      </c>
      <c r="D8" s="540"/>
      <c r="E8" s="629"/>
      <c r="F8" s="632"/>
    </row>
    <row r="9" spans="2:6" ht="18" customHeight="1" x14ac:dyDescent="0.3">
      <c r="B9" s="543"/>
      <c r="C9" s="486" t="s">
        <v>296</v>
      </c>
      <c r="D9" s="540"/>
      <c r="E9" s="630"/>
      <c r="F9" s="633"/>
    </row>
    <row r="10" spans="2:6" ht="21.5" customHeight="1" x14ac:dyDescent="0.3">
      <c r="B10" s="544"/>
      <c r="C10" s="486" t="s">
        <v>297</v>
      </c>
      <c r="D10" s="540"/>
      <c r="E10" s="163" t="s">
        <v>37</v>
      </c>
      <c r="F10" s="245">
        <v>9345.7900000000009</v>
      </c>
    </row>
    <row r="11" spans="2:6" x14ac:dyDescent="0.3">
      <c r="B11" s="246" t="s">
        <v>38</v>
      </c>
      <c r="C11" s="135"/>
      <c r="D11" s="50"/>
      <c r="E11" s="135"/>
      <c r="F11" s="247">
        <f>SUM(F6:F10)</f>
        <v>213692.46000000002</v>
      </c>
    </row>
    <row r="12" spans="2:6" ht="19.5" customHeight="1" x14ac:dyDescent="0.3">
      <c r="B12" s="595" t="s">
        <v>159</v>
      </c>
      <c r="C12" s="175" t="s">
        <v>213</v>
      </c>
      <c r="D12" s="592" t="s">
        <v>4</v>
      </c>
      <c r="E12" s="115" t="s">
        <v>32</v>
      </c>
      <c r="F12" s="186">
        <v>30645.240000000005</v>
      </c>
    </row>
    <row r="13" spans="2:6" ht="15.5" customHeight="1" x14ac:dyDescent="0.3">
      <c r="B13" s="596"/>
      <c r="C13" s="152" t="s">
        <v>214</v>
      </c>
      <c r="D13" s="593"/>
      <c r="E13" s="172" t="s">
        <v>36</v>
      </c>
      <c r="F13" s="184">
        <v>3405.0266666666671</v>
      </c>
    </row>
    <row r="14" spans="2:6" ht="26" customHeight="1" x14ac:dyDescent="0.3">
      <c r="B14" s="597"/>
      <c r="C14" s="152" t="s">
        <v>215</v>
      </c>
      <c r="D14" s="594"/>
      <c r="E14" s="116" t="s">
        <v>37</v>
      </c>
      <c r="F14" s="184">
        <v>0</v>
      </c>
    </row>
    <row r="15" spans="2:6" x14ac:dyDescent="0.3">
      <c r="B15" s="246" t="s">
        <v>38</v>
      </c>
      <c r="C15" s="135"/>
      <c r="D15" s="50"/>
      <c r="E15" s="135"/>
      <c r="F15" s="247">
        <f>SUM(F12:F14)</f>
        <v>34050.26666666667</v>
      </c>
    </row>
    <row r="16" spans="2:6" ht="20.5" customHeight="1" x14ac:dyDescent="0.3">
      <c r="B16" s="581" t="s">
        <v>273</v>
      </c>
      <c r="C16" s="485" t="s">
        <v>298</v>
      </c>
      <c r="D16" s="573" t="s">
        <v>4</v>
      </c>
      <c r="E16" s="115" t="s">
        <v>32</v>
      </c>
      <c r="F16" s="154">
        <v>45967.86</v>
      </c>
    </row>
    <row r="17" spans="2:6" ht="14.5" customHeight="1" x14ac:dyDescent="0.3">
      <c r="B17" s="586"/>
      <c r="C17" s="152" t="s">
        <v>299</v>
      </c>
      <c r="D17" s="574"/>
      <c r="E17" s="136" t="s">
        <v>36</v>
      </c>
      <c r="F17" s="117">
        <v>5107.5400000000009</v>
      </c>
    </row>
    <row r="18" spans="2:6" ht="24" x14ac:dyDescent="0.3">
      <c r="B18" s="586"/>
      <c r="C18" s="152" t="s">
        <v>300</v>
      </c>
      <c r="D18" s="574"/>
      <c r="E18" s="167" t="s">
        <v>37</v>
      </c>
      <c r="F18" s="117">
        <v>0</v>
      </c>
    </row>
    <row r="19" spans="2:6" x14ac:dyDescent="0.3">
      <c r="B19" s="586"/>
      <c r="C19" s="135"/>
      <c r="D19" s="50"/>
      <c r="E19" s="274" t="s">
        <v>38</v>
      </c>
      <c r="F19" s="247">
        <f>SUM(F16:F18)</f>
        <v>51075.4</v>
      </c>
    </row>
    <row r="20" spans="2:6" ht="15.5" customHeight="1" x14ac:dyDescent="0.3">
      <c r="B20" s="586"/>
      <c r="C20" s="551" t="s">
        <v>301</v>
      </c>
      <c r="D20" s="609" t="s">
        <v>2</v>
      </c>
      <c r="E20" s="143" t="s">
        <v>32</v>
      </c>
      <c r="F20" s="130">
        <v>25802</v>
      </c>
    </row>
    <row r="21" spans="2:6" x14ac:dyDescent="0.3">
      <c r="B21" s="586"/>
      <c r="C21" s="615"/>
      <c r="D21" s="610"/>
      <c r="E21" s="481" t="s">
        <v>36</v>
      </c>
      <c r="F21" s="130">
        <v>3132</v>
      </c>
    </row>
    <row r="22" spans="2:6" ht="24" x14ac:dyDescent="0.3">
      <c r="B22" s="586"/>
      <c r="C22" s="552"/>
      <c r="D22" s="610"/>
      <c r="E22" s="479" t="s">
        <v>37</v>
      </c>
      <c r="F22" s="130">
        <v>1427</v>
      </c>
    </row>
    <row r="23" spans="2:6" x14ac:dyDescent="0.3">
      <c r="B23" s="582"/>
      <c r="C23" s="135"/>
      <c r="D23" s="135"/>
      <c r="E23" s="274" t="s">
        <v>38</v>
      </c>
      <c r="F23" s="247">
        <f>SUM(F20:F22)</f>
        <v>30361</v>
      </c>
    </row>
    <row r="24" spans="2:6" x14ac:dyDescent="0.3">
      <c r="B24" s="246" t="s">
        <v>38</v>
      </c>
      <c r="C24" s="135"/>
      <c r="D24" s="50"/>
      <c r="E24" s="135"/>
      <c r="F24" s="247">
        <f>SUM(F19+F23)</f>
        <v>81436.399999999994</v>
      </c>
    </row>
    <row r="25" spans="2:6" ht="32" customHeight="1" x14ac:dyDescent="0.3">
      <c r="B25" s="625" t="s">
        <v>272</v>
      </c>
      <c r="C25" s="174" t="s">
        <v>302</v>
      </c>
      <c r="D25" s="609" t="s">
        <v>2</v>
      </c>
      <c r="E25" s="171" t="s">
        <v>32</v>
      </c>
      <c r="F25" s="174">
        <f>51603+51603</f>
        <v>103206</v>
      </c>
    </row>
    <row r="26" spans="2:6" ht="28.5" customHeight="1" x14ac:dyDescent="0.3">
      <c r="B26" s="626"/>
      <c r="C26" s="130" t="s">
        <v>303</v>
      </c>
      <c r="D26" s="610"/>
      <c r="E26" s="556" t="s">
        <v>36</v>
      </c>
      <c r="F26" s="606">
        <f>6263+6263</f>
        <v>12526</v>
      </c>
    </row>
    <row r="27" spans="2:6" ht="23" customHeight="1" x14ac:dyDescent="0.3">
      <c r="B27" s="626"/>
      <c r="C27" s="130" t="s">
        <v>304</v>
      </c>
      <c r="D27" s="610"/>
      <c r="E27" s="558"/>
      <c r="F27" s="608"/>
    </row>
    <row r="28" spans="2:6" ht="15.5" customHeight="1" x14ac:dyDescent="0.3">
      <c r="B28" s="626"/>
      <c r="C28" s="130" t="s">
        <v>305</v>
      </c>
      <c r="D28" s="610"/>
      <c r="E28" s="551" t="s">
        <v>37</v>
      </c>
      <c r="F28" s="606">
        <f>2854+2854</f>
        <v>5708</v>
      </c>
    </row>
    <row r="29" spans="2:6" ht="26" customHeight="1" x14ac:dyDescent="0.3">
      <c r="B29" s="626"/>
      <c r="C29" s="130" t="s">
        <v>306</v>
      </c>
      <c r="D29" s="610"/>
      <c r="E29" s="615"/>
      <c r="F29" s="607"/>
    </row>
    <row r="30" spans="2:6" ht="24" customHeight="1" x14ac:dyDescent="0.3">
      <c r="B30" s="627"/>
      <c r="C30" s="130" t="s">
        <v>307</v>
      </c>
      <c r="D30" s="611"/>
      <c r="E30" s="552"/>
      <c r="F30" s="608"/>
    </row>
    <row r="31" spans="2:6" x14ac:dyDescent="0.3">
      <c r="B31" s="246" t="s">
        <v>38</v>
      </c>
      <c r="C31" s="135"/>
      <c r="D31" s="50"/>
      <c r="E31" s="135"/>
      <c r="F31" s="247">
        <f>SUM(F25:F30)</f>
        <v>121440</v>
      </c>
    </row>
    <row r="32" spans="2:6" x14ac:dyDescent="0.3">
      <c r="B32" s="195" t="s">
        <v>26</v>
      </c>
      <c r="C32" s="188"/>
      <c r="D32" s="188"/>
      <c r="E32" s="188"/>
      <c r="F32" s="275">
        <f>F31+F24+F15+F11</f>
        <v>450619.12666666671</v>
      </c>
    </row>
    <row r="33" spans="2:7" x14ac:dyDescent="0.3">
      <c r="B33" s="192" t="s">
        <v>67</v>
      </c>
      <c r="C33" s="192"/>
      <c r="D33" s="192"/>
      <c r="E33" s="192"/>
      <c r="F33" s="232">
        <f>0.07*F32</f>
        <v>31543.338866666672</v>
      </c>
      <c r="G33" s="249">
        <f>C57+C68</f>
        <v>450619.12666666665</v>
      </c>
    </row>
    <row r="34" spans="2:7" x14ac:dyDescent="0.3">
      <c r="B34" s="195" t="s">
        <v>68</v>
      </c>
      <c r="C34" s="188"/>
      <c r="D34" s="188"/>
      <c r="E34" s="188"/>
      <c r="F34" s="275">
        <f>F33+F32</f>
        <v>482162.46553333336</v>
      </c>
    </row>
    <row r="36" spans="2:7" x14ac:dyDescent="0.3">
      <c r="G36" s="252"/>
    </row>
    <row r="37" spans="2:7" x14ac:dyDescent="0.3">
      <c r="G37" s="252"/>
    </row>
    <row r="38" spans="2:7" x14ac:dyDescent="0.3">
      <c r="B38" s="196" t="s">
        <v>69</v>
      </c>
      <c r="C38" s="196" t="s">
        <v>2</v>
      </c>
      <c r="D38" s="196" t="s">
        <v>3</v>
      </c>
      <c r="E38" s="196" t="s">
        <v>4</v>
      </c>
      <c r="F38" s="196" t="s">
        <v>1</v>
      </c>
      <c r="G38" s="254"/>
    </row>
    <row r="39" spans="2:7" x14ac:dyDescent="0.3">
      <c r="B39" s="141" t="s">
        <v>32</v>
      </c>
      <c r="C39" s="198">
        <f>F20+F25</f>
        <v>129008</v>
      </c>
      <c r="D39" s="199">
        <f>F6</f>
        <v>182346.67</v>
      </c>
      <c r="E39" s="233">
        <f>F12+F16</f>
        <v>76613.100000000006</v>
      </c>
      <c r="F39" s="201">
        <f t="shared" ref="F39:F44" si="0">SUM(C39:E39)</f>
        <v>387967.77</v>
      </c>
    </row>
    <row r="40" spans="2:7" x14ac:dyDescent="0.3">
      <c r="B40" s="141" t="s">
        <v>36</v>
      </c>
      <c r="C40" s="198">
        <f>F26+F21</f>
        <v>15658</v>
      </c>
      <c r="D40" s="199">
        <f>F7</f>
        <v>22000</v>
      </c>
      <c r="E40" s="233">
        <f>F17+F13</f>
        <v>8512.5666666666675</v>
      </c>
      <c r="F40" s="201">
        <f t="shared" si="0"/>
        <v>46170.566666666666</v>
      </c>
    </row>
    <row r="41" spans="2:7" x14ac:dyDescent="0.3">
      <c r="B41" s="142" t="s">
        <v>37</v>
      </c>
      <c r="C41" s="198">
        <f>F28+F22</f>
        <v>7135</v>
      </c>
      <c r="D41" s="199">
        <f>F10</f>
        <v>9345.7900000000009</v>
      </c>
      <c r="E41" s="233">
        <f>F18+F14</f>
        <v>0</v>
      </c>
      <c r="F41" s="201">
        <f t="shared" si="0"/>
        <v>16480.79</v>
      </c>
    </row>
    <row r="42" spans="2:7" x14ac:dyDescent="0.3">
      <c r="B42" s="202" t="s">
        <v>26</v>
      </c>
      <c r="C42" s="203">
        <f>SUM(C39:C41)</f>
        <v>151801</v>
      </c>
      <c r="D42" s="203">
        <f>SUM(D39:D41)</f>
        <v>213692.46000000002</v>
      </c>
      <c r="E42" s="203">
        <f>SUM(E39:E41)</f>
        <v>85125.666666666672</v>
      </c>
      <c r="F42" s="203">
        <f t="shared" si="0"/>
        <v>450619.12666666671</v>
      </c>
    </row>
    <row r="43" spans="2:7" x14ac:dyDescent="0.3">
      <c r="B43" s="192" t="s">
        <v>269</v>
      </c>
      <c r="C43" s="222">
        <f>C42*0.07</f>
        <v>10626.070000000002</v>
      </c>
      <c r="D43" s="199">
        <f>0.07*D42</f>
        <v>14958.472200000004</v>
      </c>
      <c r="E43" s="224">
        <f>0.07*E42</f>
        <v>5958.796666666668</v>
      </c>
      <c r="F43" s="201">
        <f t="shared" si="0"/>
        <v>31543.338866666672</v>
      </c>
    </row>
    <row r="44" spans="2:7" x14ac:dyDescent="0.3">
      <c r="B44" s="211" t="s">
        <v>1</v>
      </c>
      <c r="C44" s="236">
        <f>C43+C42</f>
        <v>162427.07</v>
      </c>
      <c r="D44" s="243">
        <f>D42+D43</f>
        <v>228650.93220000004</v>
      </c>
      <c r="E44" s="250">
        <f>E43+E42</f>
        <v>91084.463333333333</v>
      </c>
      <c r="F44" s="212">
        <f t="shared" si="0"/>
        <v>482162.46553333336</v>
      </c>
    </row>
    <row r="45" spans="2:7" x14ac:dyDescent="0.3">
      <c r="B45" s="251"/>
      <c r="C45" s="251"/>
      <c r="D45" s="251"/>
      <c r="E45" s="251"/>
      <c r="F45" s="251"/>
    </row>
    <row r="46" spans="2:7" ht="12.5" thickBot="1" x14ac:dyDescent="0.35">
      <c r="B46" s="214" t="s">
        <v>186</v>
      </c>
      <c r="C46" s="253">
        <f>'2019 Comparison'!F15</f>
        <v>151801</v>
      </c>
      <c r="D46" s="253">
        <f>'2019 Comparison'!G15</f>
        <v>264480</v>
      </c>
      <c r="E46" s="253">
        <f>'2019 Comparison'!H15</f>
        <v>85126</v>
      </c>
      <c r="F46" s="253">
        <f>'2019 Comparison'!I15</f>
        <v>501407</v>
      </c>
    </row>
    <row r="47" spans="2:7" ht="12.5" thickTop="1" x14ac:dyDescent="0.3">
      <c r="B47" s="237"/>
      <c r="C47" s="237"/>
      <c r="D47" s="237"/>
      <c r="E47" s="237"/>
      <c r="F47" s="237"/>
    </row>
    <row r="48" spans="2:7" x14ac:dyDescent="0.3">
      <c r="B48" s="572" t="s">
        <v>57</v>
      </c>
      <c r="C48" s="572"/>
      <c r="D48" s="572"/>
      <c r="E48" s="572"/>
      <c r="F48" s="572"/>
    </row>
    <row r="49" spans="2:6" x14ac:dyDescent="0.3">
      <c r="B49" s="217" t="s">
        <v>31</v>
      </c>
      <c r="C49" s="218" t="s">
        <v>100</v>
      </c>
      <c r="D49" s="219" t="s">
        <v>2</v>
      </c>
      <c r="E49" s="238" t="s">
        <v>3</v>
      </c>
      <c r="F49" s="219" t="s">
        <v>4</v>
      </c>
    </row>
    <row r="50" spans="2:6" x14ac:dyDescent="0.3">
      <c r="B50" s="192" t="s">
        <v>32</v>
      </c>
      <c r="C50" s="221">
        <f>D50+E50+F50</f>
        <v>0</v>
      </c>
      <c r="D50" s="222"/>
      <c r="E50" s="199"/>
      <c r="F50" s="224"/>
    </row>
    <row r="51" spans="2:6" x14ac:dyDescent="0.3">
      <c r="B51" s="192" t="s">
        <v>33</v>
      </c>
      <c r="C51" s="221">
        <f t="shared" ref="C51:C56" si="1">D51+E51+F51</f>
        <v>0</v>
      </c>
      <c r="D51" s="222"/>
      <c r="E51" s="199"/>
      <c r="F51" s="224"/>
    </row>
    <row r="52" spans="2:6" ht="24" x14ac:dyDescent="0.3">
      <c r="B52" s="193" t="s">
        <v>34</v>
      </c>
      <c r="C52" s="221">
        <f t="shared" si="1"/>
        <v>0</v>
      </c>
      <c r="D52" s="222"/>
      <c r="E52" s="199"/>
      <c r="F52" s="224"/>
    </row>
    <row r="53" spans="2:6" x14ac:dyDescent="0.3">
      <c r="B53" s="192" t="s">
        <v>35</v>
      </c>
      <c r="C53" s="221">
        <f t="shared" si="1"/>
        <v>0</v>
      </c>
      <c r="D53" s="222"/>
      <c r="E53" s="199"/>
      <c r="F53" s="224"/>
    </row>
    <row r="54" spans="2:6" x14ac:dyDescent="0.3">
      <c r="B54" s="192" t="s">
        <v>36</v>
      </c>
      <c r="C54" s="221">
        <f t="shared" si="1"/>
        <v>0</v>
      </c>
      <c r="D54" s="222"/>
      <c r="E54" s="199"/>
      <c r="F54" s="224"/>
    </row>
    <row r="55" spans="2:6" x14ac:dyDescent="0.3">
      <c r="B55" s="193" t="s">
        <v>53</v>
      </c>
      <c r="C55" s="221">
        <f t="shared" si="1"/>
        <v>0</v>
      </c>
      <c r="D55" s="222"/>
      <c r="E55" s="199"/>
      <c r="F55" s="224"/>
    </row>
    <row r="56" spans="2:6" x14ac:dyDescent="0.3">
      <c r="B56" s="193" t="s">
        <v>37</v>
      </c>
      <c r="C56" s="221">
        <f t="shared" si="1"/>
        <v>0</v>
      </c>
      <c r="D56" s="222"/>
      <c r="E56" s="199"/>
      <c r="F56" s="224"/>
    </row>
    <row r="57" spans="2:6" x14ac:dyDescent="0.3">
      <c r="B57" s="140" t="s">
        <v>38</v>
      </c>
      <c r="C57" s="225">
        <f>SUM(C50:C56)</f>
        <v>0</v>
      </c>
      <c r="D57" s="225">
        <f>SUM(D50:D56)</f>
        <v>0</v>
      </c>
      <c r="E57" s="225">
        <f>SUM(E50:E56)</f>
        <v>0</v>
      </c>
      <c r="F57" s="225">
        <f>SUM(F50:F56)</f>
        <v>0</v>
      </c>
    </row>
    <row r="59" spans="2:6" ht="33" customHeight="1" x14ac:dyDescent="0.3">
      <c r="B59" s="559" t="s">
        <v>63</v>
      </c>
      <c r="C59" s="560"/>
      <c r="D59" s="560"/>
      <c r="E59" s="560"/>
      <c r="F59" s="561"/>
    </row>
    <row r="60" spans="2:6" x14ac:dyDescent="0.3">
      <c r="B60" s="217" t="s">
        <v>31</v>
      </c>
      <c r="C60" s="218" t="s">
        <v>100</v>
      </c>
      <c r="D60" s="219" t="s">
        <v>2</v>
      </c>
      <c r="E60" s="238" t="s">
        <v>3</v>
      </c>
      <c r="F60" s="219" t="s">
        <v>4</v>
      </c>
    </row>
    <row r="61" spans="2:6" x14ac:dyDescent="0.3">
      <c r="B61" s="192" t="s">
        <v>32</v>
      </c>
      <c r="C61" s="221">
        <f>D61+E61+F61</f>
        <v>387967.77</v>
      </c>
      <c r="D61" s="222">
        <f>C39</f>
        <v>129008</v>
      </c>
      <c r="E61" s="199">
        <f>+D39</f>
        <v>182346.67</v>
      </c>
      <c r="F61" s="224">
        <f>+E39</f>
        <v>76613.100000000006</v>
      </c>
    </row>
    <row r="62" spans="2:6" x14ac:dyDescent="0.3">
      <c r="B62" s="192" t="s">
        <v>33</v>
      </c>
      <c r="C62" s="221">
        <f t="shared" ref="C62:C67" si="2">D62+E62+F62</f>
        <v>0</v>
      </c>
      <c r="D62" s="222"/>
      <c r="E62" s="199"/>
      <c r="F62" s="224"/>
    </row>
    <row r="63" spans="2:6" ht="24" x14ac:dyDescent="0.3">
      <c r="B63" s="193" t="s">
        <v>34</v>
      </c>
      <c r="C63" s="221">
        <f t="shared" si="2"/>
        <v>0</v>
      </c>
      <c r="D63" s="222"/>
      <c r="E63" s="199"/>
      <c r="F63" s="224"/>
    </row>
    <row r="64" spans="2:6" x14ac:dyDescent="0.3">
      <c r="B64" s="192" t="s">
        <v>35</v>
      </c>
      <c r="C64" s="221">
        <f t="shared" si="2"/>
        <v>0</v>
      </c>
      <c r="D64" s="222"/>
      <c r="E64" s="199"/>
      <c r="F64" s="224"/>
    </row>
    <row r="65" spans="2:6" x14ac:dyDescent="0.3">
      <c r="B65" s="192" t="s">
        <v>36</v>
      </c>
      <c r="C65" s="221">
        <f t="shared" si="2"/>
        <v>46170.566666666666</v>
      </c>
      <c r="D65" s="222">
        <f>C40</f>
        <v>15658</v>
      </c>
      <c r="E65" s="199">
        <f>+D40</f>
        <v>22000</v>
      </c>
      <c r="F65" s="224">
        <f>+E40</f>
        <v>8512.5666666666675</v>
      </c>
    </row>
    <row r="66" spans="2:6" x14ac:dyDescent="0.3">
      <c r="B66" s="193" t="s">
        <v>53</v>
      </c>
      <c r="C66" s="221">
        <f t="shared" si="2"/>
        <v>0</v>
      </c>
      <c r="D66" s="222"/>
      <c r="E66" s="199"/>
      <c r="F66" s="224"/>
    </row>
    <row r="67" spans="2:6" x14ac:dyDescent="0.3">
      <c r="B67" s="193" t="s">
        <v>37</v>
      </c>
      <c r="C67" s="221">
        <f t="shared" si="2"/>
        <v>16480.79</v>
      </c>
      <c r="D67" s="222">
        <f>C41</f>
        <v>7135</v>
      </c>
      <c r="E67" s="199">
        <f>+D41</f>
        <v>9345.7900000000009</v>
      </c>
      <c r="F67" s="224">
        <f>+E41</f>
        <v>0</v>
      </c>
    </row>
    <row r="68" spans="2:6" x14ac:dyDescent="0.3">
      <c r="B68" s="140" t="s">
        <v>38</v>
      </c>
      <c r="C68" s="225">
        <f>SUM(C61:C67)</f>
        <v>450619.12666666665</v>
      </c>
      <c r="D68" s="225">
        <f>SUM(D61:D67)</f>
        <v>151801</v>
      </c>
      <c r="E68" s="225">
        <f>SUM(E61:E67)</f>
        <v>213692.46000000002</v>
      </c>
      <c r="F68" s="225">
        <f>SUM(F61:F67)</f>
        <v>85125.666666666672</v>
      </c>
    </row>
  </sheetData>
  <mergeCells count="23">
    <mergeCell ref="B6:B10"/>
    <mergeCell ref="E28:E30"/>
    <mergeCell ref="F28:F30"/>
    <mergeCell ref="D25:D30"/>
    <mergeCell ref="B25:B30"/>
    <mergeCell ref="F26:F27"/>
    <mergeCell ref="D6:D10"/>
    <mergeCell ref="B12:B14"/>
    <mergeCell ref="C20:C22"/>
    <mergeCell ref="D20:D22"/>
    <mergeCell ref="B16:B23"/>
    <mergeCell ref="E7:E9"/>
    <mergeCell ref="F7:F9"/>
    <mergeCell ref="B3:F3"/>
    <mergeCell ref="B4:B5"/>
    <mergeCell ref="C4:C5"/>
    <mergeCell ref="D4:D5"/>
    <mergeCell ref="E4:F4"/>
    <mergeCell ref="B59:F59"/>
    <mergeCell ref="B48:F48"/>
    <mergeCell ref="E26:E27"/>
    <mergeCell ref="D12:D14"/>
    <mergeCell ref="D16:D18"/>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L62"/>
  <sheetViews>
    <sheetView showGridLines="0" topLeftCell="A16" zoomScale="80" zoomScaleNormal="80" workbookViewId="0">
      <selection activeCell="A5" sqref="A5"/>
    </sheetView>
  </sheetViews>
  <sheetFormatPr defaultColWidth="9.1796875" defaultRowHeight="12" x14ac:dyDescent="0.3"/>
  <cols>
    <col min="1" max="1" width="1.81640625" style="178" customWidth="1"/>
    <col min="2" max="2" width="57.81640625" style="207" customWidth="1"/>
    <col min="3" max="3" width="54.54296875" style="207" customWidth="1"/>
    <col min="4" max="4" width="16.26953125" style="207" customWidth="1"/>
    <col min="5" max="5" width="20.7265625" style="208" customWidth="1"/>
    <col min="6" max="6" width="11.1796875" style="207" customWidth="1"/>
    <col min="7" max="7" width="13.7265625" style="178" customWidth="1"/>
    <col min="8" max="16384" width="9.1796875" style="178"/>
  </cols>
  <sheetData>
    <row r="3" spans="2:6" x14ac:dyDescent="0.3">
      <c r="B3" s="137" t="s">
        <v>76</v>
      </c>
      <c r="C3" s="137"/>
      <c r="D3" s="137"/>
      <c r="E3" s="159"/>
      <c r="F3" s="138"/>
    </row>
    <row r="4" spans="2:6" x14ac:dyDescent="0.3">
      <c r="B4" s="572" t="s">
        <v>74</v>
      </c>
      <c r="C4" s="572"/>
      <c r="D4" s="572"/>
      <c r="E4" s="572"/>
      <c r="F4" s="572"/>
    </row>
    <row r="5" spans="2:6" x14ac:dyDescent="0.3">
      <c r="B5" s="566" t="s">
        <v>58</v>
      </c>
      <c r="C5" s="566" t="s">
        <v>59</v>
      </c>
      <c r="D5" s="566" t="s">
        <v>60</v>
      </c>
      <c r="E5" s="566" t="s">
        <v>61</v>
      </c>
      <c r="F5" s="566"/>
    </row>
    <row r="6" spans="2:6" x14ac:dyDescent="0.3">
      <c r="B6" s="566"/>
      <c r="C6" s="566"/>
      <c r="D6" s="566"/>
      <c r="E6" s="165" t="s">
        <v>31</v>
      </c>
      <c r="F6" s="165" t="s">
        <v>139</v>
      </c>
    </row>
    <row r="7" spans="2:6" ht="24" x14ac:dyDescent="0.3">
      <c r="B7" s="615" t="s">
        <v>229</v>
      </c>
      <c r="C7" s="127" t="s">
        <v>172</v>
      </c>
      <c r="D7" s="548" t="s">
        <v>2</v>
      </c>
      <c r="E7" s="170" t="s">
        <v>32</v>
      </c>
      <c r="F7" s="230">
        <v>123052.95305235332</v>
      </c>
    </row>
    <row r="8" spans="2:6" ht="24" x14ac:dyDescent="0.3">
      <c r="B8" s="615"/>
      <c r="C8" s="129" t="s">
        <v>173</v>
      </c>
      <c r="D8" s="549"/>
      <c r="E8" s="176" t="s">
        <v>36</v>
      </c>
      <c r="F8" s="179">
        <v>9654.7464466446672</v>
      </c>
    </row>
    <row r="9" spans="2:6" ht="24" x14ac:dyDescent="0.3">
      <c r="B9" s="552"/>
      <c r="C9" s="129" t="s">
        <v>174</v>
      </c>
      <c r="D9" s="550"/>
      <c r="E9" s="176" t="s">
        <v>37</v>
      </c>
      <c r="F9" s="179">
        <v>118.34551107717755</v>
      </c>
    </row>
    <row r="10" spans="2:6" x14ac:dyDescent="0.3">
      <c r="B10" s="246" t="s">
        <v>75</v>
      </c>
      <c r="C10" s="135"/>
      <c r="D10" s="50"/>
      <c r="E10" s="135"/>
      <c r="F10" s="247">
        <f>SUM(F7:F9)</f>
        <v>132826.04501007515</v>
      </c>
    </row>
    <row r="11" spans="2:6" ht="30.75" customHeight="1" x14ac:dyDescent="0.3">
      <c r="B11" s="559" t="s">
        <v>63</v>
      </c>
      <c r="C11" s="560"/>
      <c r="D11" s="560"/>
      <c r="E11" s="560"/>
      <c r="F11" s="561"/>
    </row>
    <row r="12" spans="2:6" x14ac:dyDescent="0.3">
      <c r="B12" s="564" t="s">
        <v>58</v>
      </c>
      <c r="C12" s="564" t="s">
        <v>59</v>
      </c>
      <c r="D12" s="564" t="s">
        <v>60</v>
      </c>
      <c r="E12" s="566" t="s">
        <v>61</v>
      </c>
      <c r="F12" s="566"/>
    </row>
    <row r="13" spans="2:6" x14ac:dyDescent="0.3">
      <c r="B13" s="565"/>
      <c r="C13" s="565"/>
      <c r="D13" s="565"/>
      <c r="E13" s="165" t="s">
        <v>31</v>
      </c>
      <c r="F13" s="165" t="s">
        <v>62</v>
      </c>
    </row>
    <row r="14" spans="2:6" ht="45" customHeight="1" x14ac:dyDescent="0.3">
      <c r="B14" s="542" t="s">
        <v>77</v>
      </c>
      <c r="C14" s="181" t="s">
        <v>211</v>
      </c>
      <c r="D14" s="590" t="s">
        <v>3</v>
      </c>
      <c r="E14" s="131" t="s">
        <v>32</v>
      </c>
      <c r="F14" s="148">
        <v>134361.99</v>
      </c>
    </row>
    <row r="15" spans="2:6" ht="24" x14ac:dyDescent="0.3">
      <c r="B15" s="543"/>
      <c r="C15" s="181" t="s">
        <v>210</v>
      </c>
      <c r="D15" s="540"/>
      <c r="E15" s="131" t="s">
        <v>36</v>
      </c>
      <c r="F15" s="148">
        <v>20000</v>
      </c>
    </row>
    <row r="16" spans="2:6" ht="24" x14ac:dyDescent="0.3">
      <c r="B16" s="543"/>
      <c r="C16" s="542" t="s">
        <v>212</v>
      </c>
      <c r="D16" s="540"/>
      <c r="E16" s="131" t="s">
        <v>37</v>
      </c>
      <c r="F16" s="148">
        <v>9345.7900000000009</v>
      </c>
    </row>
    <row r="17" spans="2:12" x14ac:dyDescent="0.3">
      <c r="B17" s="544"/>
      <c r="C17" s="544"/>
      <c r="D17" s="541"/>
      <c r="E17" s="132"/>
      <c r="F17" s="255"/>
    </row>
    <row r="18" spans="2:12" x14ac:dyDescent="0.3">
      <c r="B18" s="246" t="s">
        <v>38</v>
      </c>
      <c r="C18" s="135"/>
      <c r="D18" s="50"/>
      <c r="E18" s="135" t="s">
        <v>38</v>
      </c>
      <c r="F18" s="247">
        <f>SUM(F14:F16)</f>
        <v>163707.78</v>
      </c>
    </row>
    <row r="19" spans="2:12" ht="24" x14ac:dyDescent="0.3">
      <c r="B19" s="635" t="s">
        <v>160</v>
      </c>
      <c r="C19" s="130" t="s">
        <v>175</v>
      </c>
      <c r="D19" s="634" t="s">
        <v>2</v>
      </c>
      <c r="E19" s="176" t="s">
        <v>32</v>
      </c>
      <c r="F19" s="179">
        <v>52736.979879579994</v>
      </c>
    </row>
    <row r="20" spans="2:12" x14ac:dyDescent="0.3">
      <c r="B20" s="636"/>
      <c r="C20" s="606" t="s">
        <v>176</v>
      </c>
      <c r="D20" s="634"/>
      <c r="E20" s="176" t="s">
        <v>36</v>
      </c>
      <c r="F20" s="179">
        <v>4137.7484771334284</v>
      </c>
    </row>
    <row r="21" spans="2:12" ht="24" x14ac:dyDescent="0.3">
      <c r="B21" s="637"/>
      <c r="C21" s="608"/>
      <c r="D21" s="634"/>
      <c r="E21" s="176" t="s">
        <v>37</v>
      </c>
      <c r="F21" s="179">
        <v>50.719504747361803</v>
      </c>
    </row>
    <row r="22" spans="2:12" x14ac:dyDescent="0.3">
      <c r="B22" s="246" t="s">
        <v>38</v>
      </c>
      <c r="C22" s="135"/>
      <c r="D22" s="50"/>
      <c r="E22" s="135"/>
      <c r="F22" s="247">
        <f>SUM(F19:F21)</f>
        <v>56925.447861460787</v>
      </c>
    </row>
    <row r="23" spans="2:12" ht="27.75" customHeight="1" x14ac:dyDescent="0.3">
      <c r="B23" s="638" t="s">
        <v>78</v>
      </c>
      <c r="C23" s="122" t="s">
        <v>226</v>
      </c>
      <c r="D23" s="574" t="s">
        <v>4</v>
      </c>
      <c r="E23" s="116" t="s">
        <v>32</v>
      </c>
      <c r="F23" s="154">
        <v>41000</v>
      </c>
      <c r="H23" s="185"/>
      <c r="I23" s="185"/>
      <c r="J23" s="185"/>
      <c r="K23" s="185"/>
      <c r="L23" s="185"/>
    </row>
    <row r="24" spans="2:12" ht="23.25" customHeight="1" x14ac:dyDescent="0.3">
      <c r="B24" s="639"/>
      <c r="C24" s="117" t="s">
        <v>227</v>
      </c>
      <c r="D24" s="574"/>
      <c r="E24" s="116" t="s">
        <v>36</v>
      </c>
      <c r="F24" s="154">
        <v>5000</v>
      </c>
    </row>
    <row r="25" spans="2:12" x14ac:dyDescent="0.3">
      <c r="B25" s="246" t="s">
        <v>38</v>
      </c>
      <c r="C25" s="135"/>
      <c r="D25" s="50"/>
      <c r="E25" s="135"/>
      <c r="F25" s="247">
        <f>SUM(F23:F24)</f>
        <v>46000</v>
      </c>
    </row>
    <row r="26" spans="2:12" x14ac:dyDescent="0.3">
      <c r="B26" s="468" t="s">
        <v>75</v>
      </c>
      <c r="C26" s="469"/>
      <c r="D26" s="469"/>
      <c r="E26" s="470"/>
      <c r="F26" s="469">
        <f>F25+F22+F18</f>
        <v>266633.22786146076</v>
      </c>
    </row>
    <row r="27" spans="2:12" x14ac:dyDescent="0.3">
      <c r="B27" s="195" t="s">
        <v>26</v>
      </c>
      <c r="C27" s="188"/>
      <c r="D27" s="188"/>
      <c r="E27" s="189"/>
      <c r="F27" s="190">
        <f>F26+F10</f>
        <v>399459.27287153591</v>
      </c>
    </row>
    <row r="28" spans="2:12" x14ac:dyDescent="0.3">
      <c r="B28" s="192" t="s">
        <v>67</v>
      </c>
      <c r="C28" s="192"/>
      <c r="D28" s="192"/>
      <c r="E28" s="193"/>
      <c r="F28" s="194">
        <f>0.07*F27</f>
        <v>27962.149101007515</v>
      </c>
    </row>
    <row r="29" spans="2:12" x14ac:dyDescent="0.3">
      <c r="B29" s="195" t="s">
        <v>68</v>
      </c>
      <c r="C29" s="188"/>
      <c r="D29" s="188"/>
      <c r="E29" s="189"/>
      <c r="F29" s="256">
        <f>SUM(F27:F28)</f>
        <v>427421.42197254341</v>
      </c>
    </row>
    <row r="32" spans="2:12" x14ac:dyDescent="0.3">
      <c r="B32" s="196" t="s">
        <v>69</v>
      </c>
      <c r="C32" s="196" t="s">
        <v>2</v>
      </c>
      <c r="D32" s="196" t="s">
        <v>3</v>
      </c>
      <c r="E32" s="197" t="s">
        <v>4</v>
      </c>
      <c r="F32" s="196" t="s">
        <v>1</v>
      </c>
    </row>
    <row r="33" spans="2:7" x14ac:dyDescent="0.3">
      <c r="B33" s="141" t="s">
        <v>32</v>
      </c>
      <c r="C33" s="198">
        <f>F19+F7</f>
        <v>175789.93293193332</v>
      </c>
      <c r="D33" s="199">
        <f>F14</f>
        <v>134361.99</v>
      </c>
      <c r="E33" s="200">
        <f>F23</f>
        <v>41000</v>
      </c>
      <c r="F33" s="201">
        <f>SUM(C33:E33)</f>
        <v>351151.92293193331</v>
      </c>
    </row>
    <row r="34" spans="2:7" x14ac:dyDescent="0.3">
      <c r="B34" s="141" t="s">
        <v>36</v>
      </c>
      <c r="C34" s="198">
        <f>F20+F8</f>
        <v>13792.494923778097</v>
      </c>
      <c r="D34" s="199">
        <f>F15</f>
        <v>20000</v>
      </c>
      <c r="E34" s="200">
        <f>F24</f>
        <v>5000</v>
      </c>
      <c r="F34" s="201">
        <f>SUM(C34:E34)</f>
        <v>38792.494923778097</v>
      </c>
    </row>
    <row r="35" spans="2:7" x14ac:dyDescent="0.3">
      <c r="B35" s="142" t="s">
        <v>37</v>
      </c>
      <c r="C35" s="198">
        <f>F21+F9</f>
        <v>169.06501582453936</v>
      </c>
      <c r="D35" s="199">
        <f>F16</f>
        <v>9345.7900000000009</v>
      </c>
      <c r="E35" s="200">
        <v>0</v>
      </c>
      <c r="F35" s="201">
        <f>SUM(C35:E35)</f>
        <v>9514.8550158245398</v>
      </c>
    </row>
    <row r="36" spans="2:7" x14ac:dyDescent="0.3">
      <c r="B36" s="202" t="s">
        <v>26</v>
      </c>
      <c r="C36" s="203">
        <f>SUM(C33:C35)</f>
        <v>189751.49287153597</v>
      </c>
      <c r="D36" s="203">
        <f>SUM(D33:D35)</f>
        <v>163707.78</v>
      </c>
      <c r="E36" s="204">
        <f>SUM(E33:E35)</f>
        <v>46000</v>
      </c>
      <c r="F36" s="203">
        <f>SUM(F33:F35)</f>
        <v>399459.27287153597</v>
      </c>
      <c r="G36" s="249">
        <f>C51+C62</f>
        <v>399459.27287153591</v>
      </c>
    </row>
    <row r="37" spans="2:7" x14ac:dyDescent="0.3">
      <c r="B37" s="192" t="s">
        <v>269</v>
      </c>
      <c r="C37" s="222">
        <f>0.07*C36</f>
        <v>13282.60450100752</v>
      </c>
      <c r="D37" s="199">
        <f>0.07*D36</f>
        <v>11459.544600000001</v>
      </c>
      <c r="E37" s="242">
        <f>0.07*E36</f>
        <v>3220.0000000000005</v>
      </c>
      <c r="F37" s="201">
        <f>0.07*F36</f>
        <v>27962.149101007519</v>
      </c>
    </row>
    <row r="38" spans="2:7" x14ac:dyDescent="0.3">
      <c r="B38" s="211" t="s">
        <v>1</v>
      </c>
      <c r="C38" s="236">
        <f>SUM(C36:C37)</f>
        <v>203034.0973725435</v>
      </c>
      <c r="D38" s="243">
        <f>SUM(D36:D37)</f>
        <v>175167.32459999999</v>
      </c>
      <c r="E38" s="244">
        <f>SUM(E36:E37)</f>
        <v>49220</v>
      </c>
      <c r="F38" s="212">
        <f>SUM(F36:F37)</f>
        <v>427421.42197254347</v>
      </c>
    </row>
    <row r="40" spans="2:7" ht="12.5" thickBot="1" x14ac:dyDescent="0.35">
      <c r="B40" s="214" t="s">
        <v>186</v>
      </c>
      <c r="C40" s="253">
        <f>'2019 Comparison'!F11</f>
        <v>189751</v>
      </c>
      <c r="D40" s="253">
        <f>'2019 Comparison'!G11</f>
        <v>171260</v>
      </c>
      <c r="E40" s="214">
        <f>'2019 Comparison'!H11</f>
        <v>46000</v>
      </c>
      <c r="F40" s="253">
        <f>'2019 Comparison'!I11</f>
        <v>407011</v>
      </c>
    </row>
    <row r="41" spans="2:7" ht="12.5" thickTop="1" x14ac:dyDescent="0.3"/>
    <row r="42" spans="2:7" x14ac:dyDescent="0.3">
      <c r="B42" s="572" t="s">
        <v>57</v>
      </c>
      <c r="C42" s="572"/>
      <c r="D42" s="572"/>
      <c r="E42" s="572"/>
      <c r="F42" s="572"/>
    </row>
    <row r="43" spans="2:7" x14ac:dyDescent="0.3">
      <c r="B43" s="217" t="s">
        <v>31</v>
      </c>
      <c r="C43" s="218" t="s">
        <v>100</v>
      </c>
      <c r="D43" s="219" t="s">
        <v>2</v>
      </c>
      <c r="E43" s="220" t="s">
        <v>3</v>
      </c>
      <c r="F43" s="219" t="s">
        <v>4</v>
      </c>
    </row>
    <row r="44" spans="2:7" x14ac:dyDescent="0.3">
      <c r="B44" s="192" t="s">
        <v>32</v>
      </c>
      <c r="C44" s="221">
        <f>D44+E44+F44</f>
        <v>123052.95305235332</v>
      </c>
      <c r="D44" s="222">
        <f>+F7</f>
        <v>123052.95305235332</v>
      </c>
      <c r="E44" s="223"/>
      <c r="F44" s="224"/>
    </row>
    <row r="45" spans="2:7" x14ac:dyDescent="0.3">
      <c r="B45" s="192" t="s">
        <v>33</v>
      </c>
      <c r="C45" s="221">
        <f t="shared" ref="C45:C50" si="0">D45+E45+F45</f>
        <v>0</v>
      </c>
      <c r="D45" s="222"/>
      <c r="E45" s="223"/>
      <c r="F45" s="224"/>
    </row>
    <row r="46" spans="2:7" x14ac:dyDescent="0.3">
      <c r="B46" s="193" t="s">
        <v>34</v>
      </c>
      <c r="C46" s="221">
        <f t="shared" si="0"/>
        <v>0</v>
      </c>
      <c r="D46" s="222"/>
      <c r="E46" s="223"/>
      <c r="F46" s="224"/>
    </row>
    <row r="47" spans="2:7" x14ac:dyDescent="0.3">
      <c r="B47" s="192" t="s">
        <v>35</v>
      </c>
      <c r="C47" s="221">
        <f t="shared" si="0"/>
        <v>0</v>
      </c>
      <c r="D47" s="222"/>
      <c r="E47" s="223"/>
      <c r="F47" s="224"/>
    </row>
    <row r="48" spans="2:7" x14ac:dyDescent="0.3">
      <c r="B48" s="192" t="s">
        <v>36</v>
      </c>
      <c r="C48" s="221">
        <f t="shared" si="0"/>
        <v>9654.7464466446672</v>
      </c>
      <c r="D48" s="222">
        <f>+F8</f>
        <v>9654.7464466446672</v>
      </c>
      <c r="E48" s="223"/>
      <c r="F48" s="224"/>
    </row>
    <row r="49" spans="2:6" x14ac:dyDescent="0.3">
      <c r="B49" s="193" t="s">
        <v>53</v>
      </c>
      <c r="C49" s="221">
        <f t="shared" si="0"/>
        <v>0</v>
      </c>
      <c r="D49" s="222"/>
      <c r="E49" s="223"/>
      <c r="F49" s="224"/>
    </row>
    <row r="50" spans="2:6" x14ac:dyDescent="0.3">
      <c r="B50" s="193" t="s">
        <v>37</v>
      </c>
      <c r="C50" s="221">
        <f t="shared" si="0"/>
        <v>118.34551107717755</v>
      </c>
      <c r="D50" s="222">
        <f>+F9</f>
        <v>118.34551107717755</v>
      </c>
      <c r="E50" s="223"/>
      <c r="F50" s="224"/>
    </row>
    <row r="51" spans="2:6" x14ac:dyDescent="0.3">
      <c r="B51" s="140" t="s">
        <v>38</v>
      </c>
      <c r="C51" s="225">
        <f>SUM(C44:C50)</f>
        <v>132826.04501007515</v>
      </c>
      <c r="D51" s="225">
        <f>SUM(D44:D50)</f>
        <v>132826.04501007515</v>
      </c>
      <c r="E51" s="226">
        <f>SUM(E44:E50)</f>
        <v>0</v>
      </c>
      <c r="F51" s="225">
        <f>SUM(F44:F50)</f>
        <v>0</v>
      </c>
    </row>
    <row r="53" spans="2:6" ht="27.75" customHeight="1" x14ac:dyDescent="0.3">
      <c r="B53" s="559" t="s">
        <v>63</v>
      </c>
      <c r="C53" s="560"/>
      <c r="D53" s="560"/>
      <c r="E53" s="560"/>
      <c r="F53" s="561"/>
    </row>
    <row r="54" spans="2:6" x14ac:dyDescent="0.3">
      <c r="B54" s="217" t="s">
        <v>31</v>
      </c>
      <c r="C54" s="218" t="s">
        <v>100</v>
      </c>
      <c r="D54" s="219" t="s">
        <v>2</v>
      </c>
      <c r="E54" s="220" t="s">
        <v>3</v>
      </c>
      <c r="F54" s="219" t="s">
        <v>4</v>
      </c>
    </row>
    <row r="55" spans="2:6" x14ac:dyDescent="0.3">
      <c r="B55" s="192" t="s">
        <v>32</v>
      </c>
      <c r="C55" s="221">
        <f>D55+E55+F55</f>
        <v>228098.96987957999</v>
      </c>
      <c r="D55" s="222">
        <f>+F19</f>
        <v>52736.979879579994</v>
      </c>
      <c r="E55" s="223">
        <f>+D33</f>
        <v>134361.99</v>
      </c>
      <c r="F55" s="224">
        <f>+E33</f>
        <v>41000</v>
      </c>
    </row>
    <row r="56" spans="2:6" x14ac:dyDescent="0.3">
      <c r="B56" s="192" t="s">
        <v>33</v>
      </c>
      <c r="C56" s="221">
        <f t="shared" ref="C56:C61" si="1">D56+E56+F56</f>
        <v>0</v>
      </c>
      <c r="D56" s="222"/>
      <c r="E56" s="223"/>
      <c r="F56" s="224"/>
    </row>
    <row r="57" spans="2:6" x14ac:dyDescent="0.3">
      <c r="B57" s="193" t="s">
        <v>34</v>
      </c>
      <c r="C57" s="221">
        <f t="shared" si="1"/>
        <v>0</v>
      </c>
      <c r="D57" s="222"/>
      <c r="E57" s="223"/>
      <c r="F57" s="224"/>
    </row>
    <row r="58" spans="2:6" x14ac:dyDescent="0.3">
      <c r="B58" s="192" t="s">
        <v>35</v>
      </c>
      <c r="C58" s="221">
        <f t="shared" si="1"/>
        <v>0</v>
      </c>
      <c r="D58" s="222"/>
      <c r="E58" s="223"/>
      <c r="F58" s="224"/>
    </row>
    <row r="59" spans="2:6" x14ac:dyDescent="0.3">
      <c r="B59" s="192" t="s">
        <v>36</v>
      </c>
      <c r="C59" s="221">
        <f t="shared" si="1"/>
        <v>29137.748477133428</v>
      </c>
      <c r="D59" s="222">
        <f>+F20</f>
        <v>4137.7484771334284</v>
      </c>
      <c r="E59" s="223">
        <f>+D34</f>
        <v>20000</v>
      </c>
      <c r="F59" s="224">
        <f>+E34</f>
        <v>5000</v>
      </c>
    </row>
    <row r="60" spans="2:6" x14ac:dyDescent="0.3">
      <c r="B60" s="193" t="s">
        <v>53</v>
      </c>
      <c r="C60" s="221">
        <f t="shared" si="1"/>
        <v>0</v>
      </c>
      <c r="D60" s="222"/>
      <c r="E60" s="223"/>
      <c r="F60" s="224"/>
    </row>
    <row r="61" spans="2:6" x14ac:dyDescent="0.3">
      <c r="B61" s="193" t="s">
        <v>37</v>
      </c>
      <c r="C61" s="221">
        <f t="shared" si="1"/>
        <v>9396.5095047473624</v>
      </c>
      <c r="D61" s="222">
        <f>+F21</f>
        <v>50.719504747361803</v>
      </c>
      <c r="E61" s="223">
        <f>+D35</f>
        <v>9345.7900000000009</v>
      </c>
      <c r="F61" s="224">
        <f>+E35</f>
        <v>0</v>
      </c>
    </row>
    <row r="62" spans="2:6" x14ac:dyDescent="0.3">
      <c r="B62" s="140" t="s">
        <v>38</v>
      </c>
      <c r="C62" s="225">
        <f>SUM(C55:C61)</f>
        <v>266633.22786146076</v>
      </c>
      <c r="D62" s="225">
        <f>SUM(D55:D61)</f>
        <v>56925.447861460787</v>
      </c>
      <c r="E62" s="226">
        <f>SUM(E55:E61)</f>
        <v>163707.78</v>
      </c>
      <c r="F62" s="225">
        <f>SUM(F55:F61)</f>
        <v>46000</v>
      </c>
    </row>
  </sheetData>
  <mergeCells count="22">
    <mergeCell ref="B4:F4"/>
    <mergeCell ref="E5:F5"/>
    <mergeCell ref="B11:F11"/>
    <mergeCell ref="B7:B9"/>
    <mergeCell ref="B5:B6"/>
    <mergeCell ref="C5:C6"/>
    <mergeCell ref="D5:D6"/>
    <mergeCell ref="D7:D9"/>
    <mergeCell ref="B14:B17"/>
    <mergeCell ref="D14:D17"/>
    <mergeCell ref="B23:B24"/>
    <mergeCell ref="E12:F12"/>
    <mergeCell ref="B12:B13"/>
    <mergeCell ref="C12:C13"/>
    <mergeCell ref="D12:D13"/>
    <mergeCell ref="C16:C17"/>
    <mergeCell ref="B53:F53"/>
    <mergeCell ref="B42:F42"/>
    <mergeCell ref="D19:D21"/>
    <mergeCell ref="D23:D24"/>
    <mergeCell ref="B19:B21"/>
    <mergeCell ref="C20:C21"/>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77"/>
  <sheetViews>
    <sheetView showGridLines="0" topLeftCell="A31" zoomScale="60" zoomScaleNormal="60" workbookViewId="0">
      <selection activeCell="E20" sqref="E20"/>
    </sheetView>
  </sheetViews>
  <sheetFormatPr defaultColWidth="9.1796875" defaultRowHeight="12" x14ac:dyDescent="0.3"/>
  <cols>
    <col min="1" max="1" width="1" style="178" customWidth="1"/>
    <col min="2" max="2" width="37" style="207" customWidth="1"/>
    <col min="3" max="3" width="75.90625" style="207" customWidth="1"/>
    <col min="4" max="4" width="13.08984375" style="207" customWidth="1"/>
    <col min="5" max="5" width="18.90625" style="207" customWidth="1"/>
    <col min="6" max="6" width="14.1796875" style="207" customWidth="1"/>
    <col min="7" max="7" width="16.453125" style="207" customWidth="1"/>
    <col min="8" max="16384" width="9.1796875" style="178"/>
  </cols>
  <sheetData>
    <row r="3" spans="2:6" x14ac:dyDescent="0.3">
      <c r="B3" s="137" t="s">
        <v>99</v>
      </c>
      <c r="C3" s="137"/>
      <c r="D3" s="137"/>
      <c r="E3" s="137"/>
      <c r="F3" s="138"/>
    </row>
    <row r="4" spans="2:6" ht="42" customHeight="1" x14ac:dyDescent="0.3">
      <c r="B4" s="559" t="s">
        <v>63</v>
      </c>
      <c r="C4" s="560"/>
      <c r="D4" s="560"/>
      <c r="E4" s="560"/>
      <c r="F4" s="561"/>
    </row>
    <row r="5" spans="2:6" ht="15.75" customHeight="1" x14ac:dyDescent="0.3">
      <c r="B5" s="562" t="s">
        <v>58</v>
      </c>
      <c r="C5" s="564" t="s">
        <v>59</v>
      </c>
      <c r="D5" s="566" t="s">
        <v>60</v>
      </c>
      <c r="E5" s="640" t="s">
        <v>61</v>
      </c>
      <c r="F5" s="641"/>
    </row>
    <row r="6" spans="2:6" x14ac:dyDescent="0.3">
      <c r="B6" s="563"/>
      <c r="C6" s="565"/>
      <c r="D6" s="566"/>
      <c r="E6" s="165" t="s">
        <v>31</v>
      </c>
      <c r="F6" s="165" t="s">
        <v>62</v>
      </c>
    </row>
    <row r="7" spans="2:6" ht="20" customHeight="1" x14ac:dyDescent="0.3">
      <c r="B7" s="545" t="s">
        <v>98</v>
      </c>
      <c r="C7" s="131" t="s">
        <v>278</v>
      </c>
      <c r="D7" s="590" t="s">
        <v>3</v>
      </c>
      <c r="E7" s="545" t="s">
        <v>32</v>
      </c>
      <c r="F7" s="646">
        <v>408398</v>
      </c>
    </row>
    <row r="8" spans="2:6" ht="38.5" customHeight="1" x14ac:dyDescent="0.3">
      <c r="B8" s="546"/>
      <c r="C8" s="131" t="s">
        <v>279</v>
      </c>
      <c r="D8" s="540"/>
      <c r="E8" s="546"/>
      <c r="F8" s="647"/>
    </row>
    <row r="9" spans="2:6" ht="26.5" customHeight="1" x14ac:dyDescent="0.3">
      <c r="B9" s="546"/>
      <c r="C9" s="131" t="s">
        <v>280</v>
      </c>
      <c r="D9" s="540"/>
      <c r="E9" s="546"/>
      <c r="F9" s="647"/>
    </row>
    <row r="10" spans="2:6" ht="27.5" customHeight="1" x14ac:dyDescent="0.3">
      <c r="B10" s="546"/>
      <c r="C10" s="132" t="s">
        <v>281</v>
      </c>
      <c r="D10" s="540"/>
      <c r="E10" s="546"/>
      <c r="F10" s="647"/>
    </row>
    <row r="11" spans="2:6" ht="26.5" customHeight="1" x14ac:dyDescent="0.3">
      <c r="B11" s="546"/>
      <c r="C11" s="132" t="s">
        <v>282</v>
      </c>
      <c r="D11" s="540"/>
      <c r="E11" s="546"/>
      <c r="F11" s="647"/>
    </row>
    <row r="12" spans="2:6" ht="29.5" customHeight="1" x14ac:dyDescent="0.3">
      <c r="B12" s="546"/>
      <c r="C12" s="132" t="s">
        <v>283</v>
      </c>
      <c r="D12" s="540"/>
      <c r="E12" s="546"/>
      <c r="F12" s="647"/>
    </row>
    <row r="13" spans="2:6" ht="24" x14ac:dyDescent="0.3">
      <c r="B13" s="546"/>
      <c r="C13" s="132" t="s">
        <v>284</v>
      </c>
      <c r="D13" s="540"/>
      <c r="E13" s="628" t="s">
        <v>36</v>
      </c>
      <c r="F13" s="644">
        <v>38000</v>
      </c>
    </row>
    <row r="14" spans="2:6" ht="24" x14ac:dyDescent="0.3">
      <c r="B14" s="546"/>
      <c r="C14" s="132" t="s">
        <v>286</v>
      </c>
      <c r="D14" s="540"/>
      <c r="E14" s="630"/>
      <c r="F14" s="645"/>
    </row>
    <row r="15" spans="2:6" ht="42.75" customHeight="1" x14ac:dyDescent="0.3">
      <c r="B15" s="546"/>
      <c r="C15" s="482" t="s">
        <v>287</v>
      </c>
      <c r="D15" s="541"/>
      <c r="E15" s="131" t="s">
        <v>37</v>
      </c>
      <c r="F15" s="257">
        <v>18692</v>
      </c>
    </row>
    <row r="16" spans="2:6" ht="14.5" customHeight="1" x14ac:dyDescent="0.3">
      <c r="B16" s="546"/>
      <c r="C16" s="604"/>
      <c r="D16" s="605"/>
      <c r="E16" s="274" t="s">
        <v>38</v>
      </c>
      <c r="F16" s="248">
        <f>SUM(F7:F15)</f>
        <v>465090</v>
      </c>
    </row>
    <row r="17" spans="2:7" ht="24" customHeight="1" x14ac:dyDescent="0.3">
      <c r="B17" s="546"/>
      <c r="C17" s="551" t="s">
        <v>285</v>
      </c>
      <c r="D17" s="548" t="s">
        <v>2</v>
      </c>
      <c r="E17" s="480" t="s">
        <v>32</v>
      </c>
      <c r="F17" s="179">
        <v>33865</v>
      </c>
    </row>
    <row r="18" spans="2:7" ht="19.5" customHeight="1" x14ac:dyDescent="0.3">
      <c r="B18" s="546"/>
      <c r="C18" s="615"/>
      <c r="D18" s="549"/>
      <c r="E18" s="480" t="s">
        <v>36</v>
      </c>
      <c r="F18" s="179">
        <v>5948</v>
      </c>
    </row>
    <row r="19" spans="2:7" ht="27" customHeight="1" x14ac:dyDescent="0.3">
      <c r="B19" s="546"/>
      <c r="C19" s="552"/>
      <c r="D19" s="550"/>
      <c r="E19" s="480" t="s">
        <v>37</v>
      </c>
      <c r="F19" s="179">
        <v>36</v>
      </c>
    </row>
    <row r="20" spans="2:7" ht="16" customHeight="1" x14ac:dyDescent="0.3">
      <c r="B20" s="547"/>
      <c r="C20" s="604"/>
      <c r="D20" s="605"/>
      <c r="E20" s="274" t="s">
        <v>38</v>
      </c>
      <c r="F20" s="248">
        <f>SUM(F17:F19)</f>
        <v>39849</v>
      </c>
    </row>
    <row r="21" spans="2:7" ht="15" customHeight="1" x14ac:dyDescent="0.3">
      <c r="B21" s="246" t="s">
        <v>38</v>
      </c>
      <c r="C21" s="135"/>
      <c r="D21" s="50"/>
      <c r="E21" s="135"/>
      <c r="F21" s="247">
        <f>SUM(F16+F20)</f>
        <v>504939</v>
      </c>
    </row>
    <row r="22" spans="2:7" ht="24" x14ac:dyDescent="0.3">
      <c r="B22" s="648" t="s">
        <v>247</v>
      </c>
      <c r="C22" s="176" t="s">
        <v>182</v>
      </c>
      <c r="D22" s="548" t="s">
        <v>2</v>
      </c>
      <c r="E22" s="551" t="s">
        <v>32</v>
      </c>
      <c r="F22" s="642">
        <v>62891</v>
      </c>
      <c r="G22" s="259"/>
    </row>
    <row r="23" spans="2:7" x14ac:dyDescent="0.3">
      <c r="B23" s="649"/>
      <c r="C23" s="176" t="s">
        <v>248</v>
      </c>
      <c r="D23" s="549"/>
      <c r="E23" s="552"/>
      <c r="F23" s="643"/>
      <c r="G23" s="259"/>
    </row>
    <row r="24" spans="2:7" ht="24" x14ac:dyDescent="0.3">
      <c r="B24" s="649"/>
      <c r="C24" s="176" t="s">
        <v>183</v>
      </c>
      <c r="D24" s="549"/>
      <c r="E24" s="556" t="s">
        <v>36</v>
      </c>
      <c r="F24" s="651">
        <v>11046</v>
      </c>
      <c r="G24" s="259"/>
    </row>
    <row r="25" spans="2:7" x14ac:dyDescent="0.3">
      <c r="B25" s="649"/>
      <c r="C25" s="480" t="s">
        <v>277</v>
      </c>
      <c r="D25" s="549"/>
      <c r="E25" s="558"/>
      <c r="F25" s="652"/>
      <c r="G25" s="259"/>
    </row>
    <row r="26" spans="2:7" ht="24" x14ac:dyDescent="0.3">
      <c r="B26" s="650"/>
      <c r="C26" s="176" t="s">
        <v>184</v>
      </c>
      <c r="D26" s="550"/>
      <c r="E26" s="176" t="s">
        <v>37</v>
      </c>
      <c r="F26" s="179">
        <v>66</v>
      </c>
    </row>
    <row r="27" spans="2:7" ht="13.15" customHeight="1" x14ac:dyDescent="0.3">
      <c r="B27" s="246" t="s">
        <v>38</v>
      </c>
      <c r="C27" s="135"/>
      <c r="D27" s="50"/>
      <c r="E27" s="135"/>
      <c r="F27" s="247">
        <f>SUM(F22:F26)</f>
        <v>74003</v>
      </c>
    </row>
    <row r="28" spans="2:7" ht="27.5" customHeight="1" x14ac:dyDescent="0.3">
      <c r="B28" s="598" t="s">
        <v>97</v>
      </c>
      <c r="C28" s="262" t="s">
        <v>288</v>
      </c>
      <c r="D28" s="592" t="s">
        <v>4</v>
      </c>
      <c r="E28" s="116" t="s">
        <v>32</v>
      </c>
      <c r="F28" s="150">
        <v>16847.16</v>
      </c>
    </row>
    <row r="29" spans="2:7" ht="16" customHeight="1" x14ac:dyDescent="0.3">
      <c r="B29" s="599"/>
      <c r="C29" s="598" t="s">
        <v>224</v>
      </c>
      <c r="D29" s="593"/>
      <c r="E29" s="115" t="s">
        <v>36</v>
      </c>
      <c r="F29" s="184">
        <v>1871.9066666666668</v>
      </c>
    </row>
    <row r="30" spans="2:7" ht="24" x14ac:dyDescent="0.3">
      <c r="B30" s="600"/>
      <c r="C30" s="600"/>
      <c r="D30" s="594"/>
      <c r="E30" s="116" t="s">
        <v>37</v>
      </c>
      <c r="F30" s="184">
        <v>0</v>
      </c>
    </row>
    <row r="31" spans="2:7" x14ac:dyDescent="0.3">
      <c r="B31" s="246" t="s">
        <v>38</v>
      </c>
      <c r="C31" s="135"/>
      <c r="D31" s="50"/>
      <c r="E31" s="135"/>
      <c r="F31" s="247">
        <f>SUM(F28:F30)</f>
        <v>18719.066666666666</v>
      </c>
    </row>
    <row r="32" spans="2:7" ht="24" x14ac:dyDescent="0.3">
      <c r="B32" s="595" t="s">
        <v>96</v>
      </c>
      <c r="C32" s="116" t="s">
        <v>289</v>
      </c>
      <c r="D32" s="593" t="s">
        <v>4</v>
      </c>
      <c r="E32" s="116" t="s">
        <v>32</v>
      </c>
      <c r="F32" s="150">
        <v>25270.74</v>
      </c>
      <c r="G32" s="261">
        <f>C66+C77</f>
        <v>672537.33333333337</v>
      </c>
    </row>
    <row r="33" spans="2:6" ht="20" customHeight="1" x14ac:dyDescent="0.3">
      <c r="B33" s="596"/>
      <c r="C33" s="598" t="s">
        <v>290</v>
      </c>
      <c r="D33" s="593"/>
      <c r="E33" s="115" t="s">
        <v>36</v>
      </c>
      <c r="F33" s="150">
        <v>2807.8599999999997</v>
      </c>
    </row>
    <row r="34" spans="2:6" ht="27" customHeight="1" x14ac:dyDescent="0.3">
      <c r="B34" s="597"/>
      <c r="C34" s="600"/>
      <c r="D34" s="594"/>
      <c r="E34" s="116" t="s">
        <v>37</v>
      </c>
      <c r="F34" s="184">
        <v>0</v>
      </c>
    </row>
    <row r="35" spans="2:6" x14ac:dyDescent="0.3">
      <c r="B35" s="246" t="s">
        <v>38</v>
      </c>
      <c r="C35" s="135"/>
      <c r="D35" s="50"/>
      <c r="E35" s="135"/>
      <c r="F35" s="247">
        <f>SUM(F32:F34)</f>
        <v>28078.600000000002</v>
      </c>
    </row>
    <row r="36" spans="2:6" ht="33" customHeight="1" x14ac:dyDescent="0.3">
      <c r="B36" s="581" t="s">
        <v>95</v>
      </c>
      <c r="C36" s="155" t="s">
        <v>225</v>
      </c>
      <c r="D36" s="573" t="s">
        <v>4</v>
      </c>
      <c r="E36" s="116" t="s">
        <v>32</v>
      </c>
      <c r="F36" s="153">
        <v>42117.899999999994</v>
      </c>
    </row>
    <row r="37" spans="2:6" ht="33.5" customHeight="1" x14ac:dyDescent="0.3">
      <c r="B37" s="586"/>
      <c r="C37" s="122" t="s">
        <v>291</v>
      </c>
      <c r="D37" s="574"/>
      <c r="E37" s="115" t="s">
        <v>36</v>
      </c>
      <c r="F37" s="153">
        <v>4679.7666666666664</v>
      </c>
    </row>
    <row r="38" spans="2:6" ht="38" customHeight="1" x14ac:dyDescent="0.3">
      <c r="B38" s="582"/>
      <c r="C38" s="122" t="s">
        <v>249</v>
      </c>
      <c r="D38" s="575"/>
      <c r="E38" s="116" t="s">
        <v>37</v>
      </c>
      <c r="F38" s="153">
        <v>0</v>
      </c>
    </row>
    <row r="39" spans="2:6" x14ac:dyDescent="0.3">
      <c r="B39" s="246" t="s">
        <v>38</v>
      </c>
      <c r="C39" s="135"/>
      <c r="D39" s="50"/>
      <c r="E39" s="135"/>
      <c r="F39" s="247">
        <f>SUM(F36:F38)</f>
        <v>46797.666666666657</v>
      </c>
    </row>
    <row r="40" spans="2:6" x14ac:dyDescent="0.3">
      <c r="B40" s="195" t="s">
        <v>26</v>
      </c>
      <c r="C40" s="188"/>
      <c r="D40" s="188"/>
      <c r="E40" s="188"/>
      <c r="F40" s="258">
        <f>F39+F35+F31+F27+F21</f>
        <v>672537.33333333326</v>
      </c>
    </row>
    <row r="41" spans="2:6" x14ac:dyDescent="0.3">
      <c r="B41" s="192" t="s">
        <v>67</v>
      </c>
      <c r="C41" s="192"/>
      <c r="D41" s="192"/>
      <c r="E41" s="192"/>
      <c r="F41" s="260">
        <f>0.07*F40</f>
        <v>47077.613333333335</v>
      </c>
    </row>
    <row r="42" spans="2:6" x14ac:dyDescent="0.3">
      <c r="B42" s="195" t="s">
        <v>68</v>
      </c>
      <c r="C42" s="188"/>
      <c r="D42" s="188"/>
      <c r="E42" s="188"/>
      <c r="F42" s="258">
        <f>SUM(F40:F41)</f>
        <v>719614.94666666654</v>
      </c>
    </row>
    <row r="45" spans="2:6" x14ac:dyDescent="0.3">
      <c r="B45" s="196" t="s">
        <v>69</v>
      </c>
      <c r="C45" s="196" t="s">
        <v>2</v>
      </c>
      <c r="D45" s="196" t="s">
        <v>3</v>
      </c>
      <c r="E45" s="196" t="s">
        <v>4</v>
      </c>
      <c r="F45" s="196" t="s">
        <v>1</v>
      </c>
    </row>
    <row r="46" spans="2:6" x14ac:dyDescent="0.3">
      <c r="B46" s="141" t="s">
        <v>32</v>
      </c>
      <c r="C46" s="198">
        <f>F22+F17</f>
        <v>96756</v>
      </c>
      <c r="D46" s="199">
        <f>F7</f>
        <v>408398</v>
      </c>
      <c r="E46" s="233">
        <f>F28+F32+F36</f>
        <v>84235.799999999988</v>
      </c>
      <c r="F46" s="201">
        <f>SUM(C46:E46)</f>
        <v>589389.80000000005</v>
      </c>
    </row>
    <row r="47" spans="2:6" x14ac:dyDescent="0.3">
      <c r="B47" s="141" t="s">
        <v>36</v>
      </c>
      <c r="C47" s="198">
        <f>F24+F18</f>
        <v>16994</v>
      </c>
      <c r="D47" s="199">
        <f>F13</f>
        <v>38000</v>
      </c>
      <c r="E47" s="233">
        <f>F37+F33+F29</f>
        <v>9359.5333333333328</v>
      </c>
      <c r="F47" s="201">
        <f>SUM(C47:E47)</f>
        <v>64353.533333333333</v>
      </c>
    </row>
    <row r="48" spans="2:6" x14ac:dyDescent="0.3">
      <c r="B48" s="142" t="s">
        <v>37</v>
      </c>
      <c r="C48" s="198">
        <f>F26+F19</f>
        <v>102</v>
      </c>
      <c r="D48" s="199">
        <f>F15</f>
        <v>18692</v>
      </c>
      <c r="E48" s="233">
        <f>F38+F34+F30</f>
        <v>0</v>
      </c>
      <c r="F48" s="201">
        <f>SUM(C48:E48)</f>
        <v>18794</v>
      </c>
    </row>
    <row r="49" spans="2:6" x14ac:dyDescent="0.3">
      <c r="B49" s="202" t="s">
        <v>26</v>
      </c>
      <c r="C49" s="203">
        <f>SUM(C46:C48)</f>
        <v>113852</v>
      </c>
      <c r="D49" s="203">
        <f>SUM(D46:D48)</f>
        <v>465090</v>
      </c>
      <c r="E49" s="203">
        <f>SUM(E46:E48)</f>
        <v>93595.333333333314</v>
      </c>
      <c r="F49" s="203">
        <f>SUM(F46:F48)</f>
        <v>672537.33333333337</v>
      </c>
    </row>
    <row r="50" spans="2:6" x14ac:dyDescent="0.3">
      <c r="B50" s="192" t="s">
        <v>269</v>
      </c>
      <c r="C50" s="222">
        <f>0.07*C49</f>
        <v>7969.64</v>
      </c>
      <c r="D50" s="199">
        <f>0.07*D49</f>
        <v>32556.300000000003</v>
      </c>
      <c r="E50" s="224">
        <f>0.07*E49</f>
        <v>6551.6733333333323</v>
      </c>
      <c r="F50" s="201">
        <f>0.07*F49</f>
        <v>47077.613333333342</v>
      </c>
    </row>
    <row r="51" spans="2:6" x14ac:dyDescent="0.3">
      <c r="B51" s="211" t="s">
        <v>1</v>
      </c>
      <c r="C51" s="236">
        <f>SUM(C49:C50)</f>
        <v>121821.64</v>
      </c>
      <c r="D51" s="243">
        <f>SUM(D49:D50)</f>
        <v>497646.3</v>
      </c>
      <c r="E51" s="250">
        <f>SUM(E49:E50)</f>
        <v>100147.00666666665</v>
      </c>
      <c r="F51" s="212">
        <f>SUM(F49:F50)</f>
        <v>719614.94666666677</v>
      </c>
    </row>
    <row r="54" spans="2:6" ht="24.5" thickBot="1" x14ac:dyDescent="0.35">
      <c r="B54" s="214" t="s">
        <v>186</v>
      </c>
      <c r="C54" s="253">
        <f>'2019 Comparison'!F16</f>
        <v>113851</v>
      </c>
      <c r="D54" s="253">
        <f>'2019 Comparison'!G16</f>
        <v>428240</v>
      </c>
      <c r="E54" s="253">
        <f>'2019 Comparison'!H16</f>
        <v>93595</v>
      </c>
      <c r="F54" s="253">
        <f>'2019 Comparison'!I16</f>
        <v>635686</v>
      </c>
    </row>
    <row r="55" spans="2:6" ht="12.5" thickTop="1" x14ac:dyDescent="0.3"/>
    <row r="57" spans="2:6" ht="32.25" customHeight="1" x14ac:dyDescent="0.3">
      <c r="B57" s="559" t="s">
        <v>57</v>
      </c>
      <c r="C57" s="560"/>
      <c r="D57" s="560"/>
      <c r="E57" s="560"/>
      <c r="F57" s="561"/>
    </row>
    <row r="58" spans="2:6" x14ac:dyDescent="0.3">
      <c r="B58" s="217" t="s">
        <v>31</v>
      </c>
      <c r="C58" s="218" t="s">
        <v>100</v>
      </c>
      <c r="D58" s="219" t="s">
        <v>2</v>
      </c>
      <c r="E58" s="238" t="s">
        <v>3</v>
      </c>
      <c r="F58" s="219" t="s">
        <v>4</v>
      </c>
    </row>
    <row r="59" spans="2:6" x14ac:dyDescent="0.3">
      <c r="B59" s="192" t="s">
        <v>32</v>
      </c>
      <c r="C59" s="221">
        <f>D59+E59+F59</f>
        <v>0</v>
      </c>
      <c r="D59" s="222"/>
      <c r="E59" s="199"/>
      <c r="F59" s="224"/>
    </row>
    <row r="60" spans="2:6" x14ac:dyDescent="0.3">
      <c r="B60" s="192" t="s">
        <v>33</v>
      </c>
      <c r="C60" s="221">
        <f t="shared" ref="C60:C65" si="0">D60+E60+F60</f>
        <v>0</v>
      </c>
      <c r="D60" s="222"/>
      <c r="E60" s="199"/>
      <c r="F60" s="224"/>
    </row>
    <row r="61" spans="2:6" ht="24" x14ac:dyDescent="0.3">
      <c r="B61" s="193" t="s">
        <v>34</v>
      </c>
      <c r="C61" s="221">
        <f t="shared" si="0"/>
        <v>0</v>
      </c>
      <c r="D61" s="222"/>
      <c r="E61" s="199"/>
      <c r="F61" s="224"/>
    </row>
    <row r="62" spans="2:6" x14ac:dyDescent="0.3">
      <c r="B62" s="192" t="s">
        <v>35</v>
      </c>
      <c r="C62" s="221">
        <f t="shared" si="0"/>
        <v>0</v>
      </c>
      <c r="D62" s="222"/>
      <c r="E62" s="199"/>
      <c r="F62" s="224"/>
    </row>
    <row r="63" spans="2:6" x14ac:dyDescent="0.3">
      <c r="B63" s="192" t="s">
        <v>36</v>
      </c>
      <c r="C63" s="221">
        <f t="shared" si="0"/>
        <v>0</v>
      </c>
      <c r="D63" s="222"/>
      <c r="E63" s="199"/>
      <c r="F63" s="224"/>
    </row>
    <row r="64" spans="2:6" x14ac:dyDescent="0.3">
      <c r="B64" s="193" t="s">
        <v>53</v>
      </c>
      <c r="C64" s="221">
        <f t="shared" si="0"/>
        <v>0</v>
      </c>
      <c r="D64" s="222"/>
      <c r="E64" s="199"/>
      <c r="F64" s="224"/>
    </row>
    <row r="65" spans="2:6" x14ac:dyDescent="0.3">
      <c r="B65" s="193" t="s">
        <v>37</v>
      </c>
      <c r="C65" s="221">
        <f t="shared" si="0"/>
        <v>0</v>
      </c>
      <c r="D65" s="222"/>
      <c r="E65" s="199"/>
      <c r="F65" s="224"/>
    </row>
    <row r="66" spans="2:6" x14ac:dyDescent="0.3">
      <c r="B66" s="140" t="s">
        <v>38</v>
      </c>
      <c r="C66" s="225">
        <f>SUM(C59:C65)</f>
        <v>0</v>
      </c>
      <c r="D66" s="225">
        <f>SUM(D59:D65)</f>
        <v>0</v>
      </c>
      <c r="E66" s="225">
        <f>SUM(E59:E65)</f>
        <v>0</v>
      </c>
      <c r="F66" s="225">
        <f>SUM(F59:F65)</f>
        <v>0</v>
      </c>
    </row>
    <row r="68" spans="2:6" ht="28.5" customHeight="1" x14ac:dyDescent="0.3">
      <c r="B68" s="559" t="s">
        <v>63</v>
      </c>
      <c r="C68" s="560"/>
      <c r="D68" s="560"/>
      <c r="E68" s="560"/>
      <c r="F68" s="561"/>
    </row>
    <row r="69" spans="2:6" x14ac:dyDescent="0.3">
      <c r="B69" s="217" t="s">
        <v>31</v>
      </c>
      <c r="C69" s="218" t="s">
        <v>100</v>
      </c>
      <c r="D69" s="219" t="s">
        <v>2</v>
      </c>
      <c r="E69" s="238" t="s">
        <v>3</v>
      </c>
      <c r="F69" s="219" t="s">
        <v>4</v>
      </c>
    </row>
    <row r="70" spans="2:6" x14ac:dyDescent="0.3">
      <c r="B70" s="192" t="s">
        <v>32</v>
      </c>
      <c r="C70" s="221">
        <f>D70+E70+F70</f>
        <v>589389.80000000005</v>
      </c>
      <c r="D70" s="222">
        <f>+C46</f>
        <v>96756</v>
      </c>
      <c r="E70" s="199">
        <f>+D46</f>
        <v>408398</v>
      </c>
      <c r="F70" s="224">
        <f>+E46</f>
        <v>84235.799999999988</v>
      </c>
    </row>
    <row r="71" spans="2:6" x14ac:dyDescent="0.3">
      <c r="B71" s="192" t="s">
        <v>33</v>
      </c>
      <c r="C71" s="221">
        <f t="shared" ref="C71:C76" si="1">D71+E71+F71</f>
        <v>0</v>
      </c>
      <c r="D71" s="222"/>
      <c r="E71" s="199"/>
      <c r="F71" s="224"/>
    </row>
    <row r="72" spans="2:6" ht="24" x14ac:dyDescent="0.3">
      <c r="B72" s="193" t="s">
        <v>34</v>
      </c>
      <c r="C72" s="221">
        <f t="shared" si="1"/>
        <v>0</v>
      </c>
      <c r="D72" s="222"/>
      <c r="E72" s="199"/>
      <c r="F72" s="224"/>
    </row>
    <row r="73" spans="2:6" x14ac:dyDescent="0.3">
      <c r="B73" s="192" t="s">
        <v>35</v>
      </c>
      <c r="C73" s="221">
        <f t="shared" si="1"/>
        <v>0</v>
      </c>
      <c r="D73" s="222"/>
      <c r="E73" s="199"/>
      <c r="F73" s="224"/>
    </row>
    <row r="74" spans="2:6" x14ac:dyDescent="0.3">
      <c r="B74" s="192" t="s">
        <v>36</v>
      </c>
      <c r="C74" s="221">
        <f t="shared" si="1"/>
        <v>64353.533333333333</v>
      </c>
      <c r="D74" s="222">
        <f>+C47</f>
        <v>16994</v>
      </c>
      <c r="E74" s="199">
        <f>+D47</f>
        <v>38000</v>
      </c>
      <c r="F74" s="224">
        <f>+E47</f>
        <v>9359.5333333333328</v>
      </c>
    </row>
    <row r="75" spans="2:6" x14ac:dyDescent="0.3">
      <c r="B75" s="193" t="s">
        <v>53</v>
      </c>
      <c r="C75" s="221">
        <f t="shared" si="1"/>
        <v>0</v>
      </c>
      <c r="D75" s="222"/>
      <c r="E75" s="199"/>
      <c r="F75" s="224"/>
    </row>
    <row r="76" spans="2:6" x14ac:dyDescent="0.3">
      <c r="B76" s="193" t="s">
        <v>37</v>
      </c>
      <c r="C76" s="221">
        <f t="shared" si="1"/>
        <v>18794</v>
      </c>
      <c r="D76" s="222">
        <f>+C48</f>
        <v>102</v>
      </c>
      <c r="E76" s="199">
        <f>+D48</f>
        <v>18692</v>
      </c>
      <c r="F76" s="224">
        <f>+E48</f>
        <v>0</v>
      </c>
    </row>
    <row r="77" spans="2:6" x14ac:dyDescent="0.3">
      <c r="B77" s="140" t="s">
        <v>38</v>
      </c>
      <c r="C77" s="225">
        <f>SUM(C70:C76)</f>
        <v>672537.33333333337</v>
      </c>
      <c r="D77" s="225">
        <f>SUM(D70:D76)</f>
        <v>113852</v>
      </c>
      <c r="E77" s="225">
        <f>SUM(E70:E76)</f>
        <v>465090</v>
      </c>
      <c r="F77" s="225">
        <f>SUM(F70:F76)</f>
        <v>93595.333333333314</v>
      </c>
    </row>
  </sheetData>
  <mergeCells count="31">
    <mergeCell ref="B32:B34"/>
    <mergeCell ref="B68:F68"/>
    <mergeCell ref="B57:F57"/>
    <mergeCell ref="B36:B38"/>
    <mergeCell ref="D36:D38"/>
    <mergeCell ref="D32:D34"/>
    <mergeCell ref="C33:C34"/>
    <mergeCell ref="C20:D20"/>
    <mergeCell ref="B7:B20"/>
    <mergeCell ref="E24:E25"/>
    <mergeCell ref="F24:F25"/>
    <mergeCell ref="B28:B30"/>
    <mergeCell ref="D28:D30"/>
    <mergeCell ref="C29:C30"/>
    <mergeCell ref="D22:D26"/>
    <mergeCell ref="B4:F4"/>
    <mergeCell ref="E5:F5"/>
    <mergeCell ref="D7:D15"/>
    <mergeCell ref="B5:B6"/>
    <mergeCell ref="E22:E23"/>
    <mergeCell ref="F22:F23"/>
    <mergeCell ref="E7:E12"/>
    <mergeCell ref="E13:E14"/>
    <mergeCell ref="F13:F14"/>
    <mergeCell ref="F7:F12"/>
    <mergeCell ref="C5:C6"/>
    <mergeCell ref="D5:D6"/>
    <mergeCell ref="B22:B26"/>
    <mergeCell ref="C16:D16"/>
    <mergeCell ref="D17:D19"/>
    <mergeCell ref="C17:C19"/>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56"/>
  <sheetViews>
    <sheetView showGridLines="0" topLeftCell="A10" zoomScale="70" zoomScaleNormal="70" workbookViewId="0">
      <selection activeCell="M16" sqref="M16"/>
    </sheetView>
  </sheetViews>
  <sheetFormatPr defaultColWidth="9.1796875" defaultRowHeight="12" x14ac:dyDescent="0.35"/>
  <cols>
    <col min="1" max="1" width="2" style="207" customWidth="1"/>
    <col min="2" max="2" width="48.26953125" style="207" customWidth="1"/>
    <col min="3" max="3" width="62.1796875" style="207" bestFit="1" customWidth="1"/>
    <col min="4" max="4" width="11.1796875" style="207" customWidth="1"/>
    <col min="5" max="5" width="18.7265625" style="208" customWidth="1"/>
    <col min="6" max="6" width="14.54296875" style="207" customWidth="1"/>
    <col min="7" max="7" width="16.26953125" style="207" customWidth="1"/>
    <col min="8" max="16384" width="9.1796875" style="207"/>
  </cols>
  <sheetData>
    <row r="3" spans="2:6" x14ac:dyDescent="0.35">
      <c r="B3" s="137" t="s">
        <v>79</v>
      </c>
      <c r="C3" s="137"/>
      <c r="D3" s="137"/>
      <c r="E3" s="159"/>
      <c r="F3" s="138"/>
    </row>
    <row r="4" spans="2:6" ht="21" customHeight="1" x14ac:dyDescent="0.35">
      <c r="B4" s="572" t="s">
        <v>74</v>
      </c>
      <c r="C4" s="572"/>
      <c r="D4" s="572"/>
      <c r="E4" s="572"/>
      <c r="F4" s="572"/>
    </row>
    <row r="5" spans="2:6" ht="21" customHeight="1" x14ac:dyDescent="0.35">
      <c r="B5" s="564" t="s">
        <v>58</v>
      </c>
      <c r="C5" s="564" t="s">
        <v>59</v>
      </c>
      <c r="D5" s="564" t="s">
        <v>60</v>
      </c>
      <c r="E5" s="566" t="s">
        <v>61</v>
      </c>
      <c r="F5" s="566"/>
    </row>
    <row r="6" spans="2:6" ht="27.75" customHeight="1" x14ac:dyDescent="0.35">
      <c r="B6" s="565"/>
      <c r="C6" s="565"/>
      <c r="D6" s="565"/>
      <c r="E6" s="165" t="s">
        <v>31</v>
      </c>
      <c r="F6" s="165" t="s">
        <v>62</v>
      </c>
    </row>
    <row r="7" spans="2:6" ht="24.75" customHeight="1" x14ac:dyDescent="0.35">
      <c r="B7" s="551" t="s">
        <v>150</v>
      </c>
      <c r="C7" s="129" t="s">
        <v>103</v>
      </c>
      <c r="D7" s="548" t="s">
        <v>2</v>
      </c>
      <c r="E7" s="591" t="s">
        <v>32</v>
      </c>
      <c r="F7" s="653">
        <v>99110.801487692996</v>
      </c>
    </row>
    <row r="8" spans="2:6" x14ac:dyDescent="0.35">
      <c r="B8" s="615"/>
      <c r="C8" s="129" t="s">
        <v>104</v>
      </c>
      <c r="D8" s="549"/>
      <c r="E8" s="591"/>
      <c r="F8" s="654"/>
    </row>
    <row r="9" spans="2:6" ht="24" x14ac:dyDescent="0.35">
      <c r="B9" s="615"/>
      <c r="C9" s="119" t="s">
        <v>105</v>
      </c>
      <c r="D9" s="549"/>
      <c r="E9" s="176" t="s">
        <v>36</v>
      </c>
      <c r="F9" s="179">
        <v>16500</v>
      </c>
    </row>
    <row r="10" spans="2:6" ht="24" x14ac:dyDescent="0.35">
      <c r="B10" s="552"/>
      <c r="C10" s="119" t="s">
        <v>106</v>
      </c>
      <c r="D10" s="550"/>
      <c r="E10" s="176" t="s">
        <v>37</v>
      </c>
      <c r="F10" s="179">
        <v>7715.31</v>
      </c>
    </row>
    <row r="11" spans="2:6" x14ac:dyDescent="0.35">
      <c r="B11" s="246" t="s">
        <v>75</v>
      </c>
      <c r="C11" s="135"/>
      <c r="D11" s="50"/>
      <c r="E11" s="135"/>
      <c r="F11" s="247">
        <f>SUM(F7:F10)</f>
        <v>123326.11148769299</v>
      </c>
    </row>
    <row r="12" spans="2:6" ht="30.75" customHeight="1" x14ac:dyDescent="0.35">
      <c r="B12" s="559" t="s">
        <v>63</v>
      </c>
      <c r="C12" s="560"/>
      <c r="D12" s="560"/>
      <c r="E12" s="560"/>
      <c r="F12" s="561"/>
    </row>
    <row r="13" spans="2:6" x14ac:dyDescent="0.35">
      <c r="B13" s="566" t="s">
        <v>58</v>
      </c>
      <c r="C13" s="566" t="s">
        <v>59</v>
      </c>
      <c r="D13" s="566" t="s">
        <v>60</v>
      </c>
      <c r="E13" s="566" t="s">
        <v>61</v>
      </c>
      <c r="F13" s="566"/>
    </row>
    <row r="14" spans="2:6" x14ac:dyDescent="0.35">
      <c r="B14" s="566"/>
      <c r="C14" s="566"/>
      <c r="D14" s="566"/>
      <c r="E14" s="165" t="s">
        <v>31</v>
      </c>
      <c r="F14" s="165" t="s">
        <v>62</v>
      </c>
    </row>
    <row r="15" spans="2:6" ht="25.5" customHeight="1" x14ac:dyDescent="0.35">
      <c r="B15" s="551" t="s">
        <v>161</v>
      </c>
      <c r="C15" s="119" t="s">
        <v>107</v>
      </c>
      <c r="D15" s="548" t="s">
        <v>2</v>
      </c>
      <c r="E15" s="170" t="s">
        <v>32</v>
      </c>
      <c r="F15" s="179">
        <f>102131.301487693-3020.5</f>
        <v>99110.801487692996</v>
      </c>
    </row>
    <row r="16" spans="2:6" x14ac:dyDescent="0.35">
      <c r="B16" s="615"/>
      <c r="C16" s="119" t="s">
        <v>108</v>
      </c>
      <c r="D16" s="549"/>
      <c r="E16" s="176" t="s">
        <v>36</v>
      </c>
      <c r="F16" s="179">
        <f>(2*3000)+(14*300)</f>
        <v>10200</v>
      </c>
    </row>
    <row r="17" spans="2:7" ht="27" customHeight="1" x14ac:dyDescent="0.35">
      <c r="B17" s="615"/>
      <c r="C17" s="119" t="s">
        <v>109</v>
      </c>
      <c r="D17" s="549"/>
      <c r="E17" s="551" t="s">
        <v>37</v>
      </c>
      <c r="F17" s="553">
        <f>15430.62/2</f>
        <v>7715.31</v>
      </c>
    </row>
    <row r="18" spans="2:7" x14ac:dyDescent="0.35">
      <c r="B18" s="552"/>
      <c r="C18" s="119" t="s">
        <v>110</v>
      </c>
      <c r="D18" s="550"/>
      <c r="E18" s="552"/>
      <c r="F18" s="555"/>
    </row>
    <row r="19" spans="2:7" x14ac:dyDescent="0.35">
      <c r="B19" s="246" t="s">
        <v>75</v>
      </c>
      <c r="C19" s="135"/>
      <c r="D19" s="50"/>
      <c r="E19" s="135"/>
      <c r="F19" s="247">
        <f>F15+F17+F16</f>
        <v>117026.11148769299</v>
      </c>
    </row>
    <row r="20" spans="2:7" x14ac:dyDescent="0.35">
      <c r="B20" s="195" t="s">
        <v>26</v>
      </c>
      <c r="C20" s="188"/>
      <c r="D20" s="188"/>
      <c r="E20" s="189"/>
      <c r="F20" s="190">
        <f>F19+F11</f>
        <v>240352.22297538599</v>
      </c>
      <c r="G20" s="259"/>
    </row>
    <row r="21" spans="2:7" x14ac:dyDescent="0.35">
      <c r="B21" s="192" t="s">
        <v>67</v>
      </c>
      <c r="C21" s="192"/>
      <c r="D21" s="192"/>
      <c r="E21" s="193"/>
      <c r="F21" s="194">
        <f>0.07*F20</f>
        <v>16824.655608277022</v>
      </c>
      <c r="G21" s="259"/>
    </row>
    <row r="22" spans="2:7" x14ac:dyDescent="0.35">
      <c r="B22" s="195" t="s">
        <v>68</v>
      </c>
      <c r="C22" s="188"/>
      <c r="D22" s="188"/>
      <c r="E22" s="189"/>
      <c r="F22" s="190">
        <f>SUM(F20:F21)</f>
        <v>257176.878583663</v>
      </c>
      <c r="G22" s="259"/>
    </row>
    <row r="25" spans="2:7" x14ac:dyDescent="0.35">
      <c r="B25" s="196" t="s">
        <v>69</v>
      </c>
      <c r="C25" s="196" t="s">
        <v>2</v>
      </c>
      <c r="D25" s="196" t="s">
        <v>3</v>
      </c>
      <c r="E25" s="197" t="s">
        <v>4</v>
      </c>
      <c r="F25" s="196" t="s">
        <v>1</v>
      </c>
    </row>
    <row r="26" spans="2:7" x14ac:dyDescent="0.35">
      <c r="B26" s="141" t="s">
        <v>32</v>
      </c>
      <c r="C26" s="198">
        <f>F7+F15</f>
        <v>198221.60297538599</v>
      </c>
      <c r="D26" s="199"/>
      <c r="E26" s="200"/>
      <c r="F26" s="201">
        <f t="shared" ref="F26:F31" si="0">SUM(C26:E26)</f>
        <v>198221.60297538599</v>
      </c>
    </row>
    <row r="27" spans="2:7" x14ac:dyDescent="0.35">
      <c r="B27" s="141" t="s">
        <v>36</v>
      </c>
      <c r="C27" s="198">
        <f>F16+F9</f>
        <v>26700</v>
      </c>
      <c r="D27" s="199"/>
      <c r="E27" s="200"/>
      <c r="F27" s="201">
        <f t="shared" si="0"/>
        <v>26700</v>
      </c>
    </row>
    <row r="28" spans="2:7" x14ac:dyDescent="0.35">
      <c r="B28" s="142" t="s">
        <v>37</v>
      </c>
      <c r="C28" s="198">
        <f>F17+F10</f>
        <v>15430.62</v>
      </c>
      <c r="D28" s="199"/>
      <c r="E28" s="200"/>
      <c r="F28" s="201">
        <f t="shared" si="0"/>
        <v>15430.62</v>
      </c>
    </row>
    <row r="29" spans="2:7" x14ac:dyDescent="0.35">
      <c r="B29" s="202" t="s">
        <v>26</v>
      </c>
      <c r="C29" s="203">
        <f>C26+C27+C28</f>
        <v>240352.22297538599</v>
      </c>
      <c r="D29" s="203"/>
      <c r="E29" s="204"/>
      <c r="F29" s="203">
        <f t="shared" si="0"/>
        <v>240352.22297538599</v>
      </c>
      <c r="G29" s="261">
        <f>C45+C56</f>
        <v>240352.22297538599</v>
      </c>
    </row>
    <row r="30" spans="2:7" x14ac:dyDescent="0.35">
      <c r="B30" s="192" t="s">
        <v>269</v>
      </c>
      <c r="C30" s="222">
        <f>0.07*C29</f>
        <v>16824.655608277022</v>
      </c>
      <c r="D30" s="199"/>
      <c r="E30" s="242"/>
      <c r="F30" s="201">
        <f t="shared" si="0"/>
        <v>16824.655608277022</v>
      </c>
    </row>
    <row r="31" spans="2:7" x14ac:dyDescent="0.35">
      <c r="B31" s="211" t="s">
        <v>1</v>
      </c>
      <c r="C31" s="236">
        <f>C30+C29</f>
        <v>257176.878583663</v>
      </c>
      <c r="D31" s="243"/>
      <c r="E31" s="250"/>
      <c r="F31" s="212">
        <f t="shared" si="0"/>
        <v>257176.878583663</v>
      </c>
    </row>
    <row r="33" spans="2:6" ht="12.5" thickBot="1" x14ac:dyDescent="0.4">
      <c r="B33" s="214" t="s">
        <v>186</v>
      </c>
      <c r="C33" s="215">
        <f>'2019 Comparison'!F7</f>
        <v>240352</v>
      </c>
      <c r="D33" s="215">
        <f>'2019 Comparison'!G7</f>
        <v>0</v>
      </c>
      <c r="E33" s="216">
        <f>'2019 Comparison'!H7</f>
        <v>0</v>
      </c>
      <c r="F33" s="215">
        <f>'2019 Comparison'!I7</f>
        <v>240352</v>
      </c>
    </row>
    <row r="34" spans="2:6" ht="12.5" thickTop="1" x14ac:dyDescent="0.35"/>
    <row r="36" spans="2:6" x14ac:dyDescent="0.35">
      <c r="B36" s="572" t="s">
        <v>57</v>
      </c>
      <c r="C36" s="572"/>
      <c r="D36" s="572"/>
      <c r="E36" s="572"/>
      <c r="F36" s="572"/>
    </row>
    <row r="37" spans="2:6" x14ac:dyDescent="0.35">
      <c r="B37" s="217" t="s">
        <v>31</v>
      </c>
      <c r="C37" s="218" t="s">
        <v>100</v>
      </c>
      <c r="D37" s="219" t="s">
        <v>2</v>
      </c>
      <c r="E37" s="220" t="s">
        <v>3</v>
      </c>
      <c r="F37" s="219" t="s">
        <v>4</v>
      </c>
    </row>
    <row r="38" spans="2:6" x14ac:dyDescent="0.35">
      <c r="B38" s="192" t="s">
        <v>32</v>
      </c>
      <c r="C38" s="221">
        <f>D38+E38+F38</f>
        <v>99110.801487692996</v>
      </c>
      <c r="D38" s="222">
        <f>+F7</f>
        <v>99110.801487692996</v>
      </c>
      <c r="E38" s="223"/>
      <c r="F38" s="224"/>
    </row>
    <row r="39" spans="2:6" x14ac:dyDescent="0.35">
      <c r="B39" s="192" t="s">
        <v>33</v>
      </c>
      <c r="C39" s="221">
        <f t="shared" ref="C39:C44" si="1">D39+E39+F39</f>
        <v>0</v>
      </c>
      <c r="D39" s="222"/>
      <c r="E39" s="223"/>
      <c r="F39" s="224"/>
    </row>
    <row r="40" spans="2:6" x14ac:dyDescent="0.35">
      <c r="B40" s="193" t="s">
        <v>34</v>
      </c>
      <c r="C40" s="221">
        <f t="shared" si="1"/>
        <v>0</v>
      </c>
      <c r="D40" s="222"/>
      <c r="E40" s="223"/>
      <c r="F40" s="224"/>
    </row>
    <row r="41" spans="2:6" x14ac:dyDescent="0.35">
      <c r="B41" s="192" t="s">
        <v>35</v>
      </c>
      <c r="C41" s="221">
        <f t="shared" si="1"/>
        <v>0</v>
      </c>
      <c r="D41" s="222"/>
      <c r="E41" s="223"/>
      <c r="F41" s="224"/>
    </row>
    <row r="42" spans="2:6" x14ac:dyDescent="0.35">
      <c r="B42" s="192" t="s">
        <v>36</v>
      </c>
      <c r="C42" s="221">
        <f t="shared" si="1"/>
        <v>16500</v>
      </c>
      <c r="D42" s="222">
        <f>+F9</f>
        <v>16500</v>
      </c>
      <c r="E42" s="223"/>
      <c r="F42" s="224"/>
    </row>
    <row r="43" spans="2:6" x14ac:dyDescent="0.35">
      <c r="B43" s="193" t="s">
        <v>53</v>
      </c>
      <c r="C43" s="221">
        <f t="shared" si="1"/>
        <v>0</v>
      </c>
      <c r="D43" s="222"/>
      <c r="E43" s="223"/>
      <c r="F43" s="224"/>
    </row>
    <row r="44" spans="2:6" x14ac:dyDescent="0.35">
      <c r="B44" s="193" t="s">
        <v>37</v>
      </c>
      <c r="C44" s="221">
        <f t="shared" si="1"/>
        <v>7715.31</v>
      </c>
      <c r="D44" s="222">
        <f>+F10</f>
        <v>7715.31</v>
      </c>
      <c r="E44" s="223"/>
      <c r="F44" s="224"/>
    </row>
    <row r="45" spans="2:6" x14ac:dyDescent="0.35">
      <c r="B45" s="140" t="s">
        <v>38</v>
      </c>
      <c r="C45" s="225">
        <f>SUM(C38:C44)</f>
        <v>123326.11148769299</v>
      </c>
      <c r="D45" s="225">
        <f>SUM(D38:D44)</f>
        <v>123326.11148769299</v>
      </c>
      <c r="E45" s="226">
        <f>SUM(E38:E44)</f>
        <v>0</v>
      </c>
      <c r="F45" s="225">
        <f>SUM(F38:F44)</f>
        <v>0</v>
      </c>
    </row>
    <row r="47" spans="2:6" ht="33.75" customHeight="1" x14ac:dyDescent="0.35">
      <c r="B47" s="559" t="s">
        <v>63</v>
      </c>
      <c r="C47" s="560"/>
      <c r="D47" s="560"/>
      <c r="E47" s="560"/>
      <c r="F47" s="561"/>
    </row>
    <row r="48" spans="2:6" x14ac:dyDescent="0.35">
      <c r="B48" s="217" t="s">
        <v>31</v>
      </c>
      <c r="C48" s="218" t="s">
        <v>100</v>
      </c>
      <c r="D48" s="219" t="s">
        <v>2</v>
      </c>
      <c r="E48" s="220" t="s">
        <v>3</v>
      </c>
      <c r="F48" s="219" t="s">
        <v>4</v>
      </c>
    </row>
    <row r="49" spans="2:6" x14ac:dyDescent="0.35">
      <c r="B49" s="192" t="s">
        <v>32</v>
      </c>
      <c r="C49" s="221">
        <f>D49+E49+F49</f>
        <v>99110.801487692996</v>
      </c>
      <c r="D49" s="222">
        <f>+F15</f>
        <v>99110.801487692996</v>
      </c>
      <c r="E49" s="223"/>
      <c r="F49" s="224"/>
    </row>
    <row r="50" spans="2:6" x14ac:dyDescent="0.35">
      <c r="B50" s="192" t="s">
        <v>33</v>
      </c>
      <c r="C50" s="221">
        <f t="shared" ref="C50:C55" si="2">D50+E50+F50</f>
        <v>0</v>
      </c>
      <c r="D50" s="222"/>
      <c r="E50" s="223"/>
      <c r="F50" s="224"/>
    </row>
    <row r="51" spans="2:6" x14ac:dyDescent="0.35">
      <c r="B51" s="193" t="s">
        <v>34</v>
      </c>
      <c r="C51" s="221">
        <f t="shared" si="2"/>
        <v>0</v>
      </c>
      <c r="D51" s="222"/>
      <c r="E51" s="223"/>
      <c r="F51" s="224"/>
    </row>
    <row r="52" spans="2:6" x14ac:dyDescent="0.35">
      <c r="B52" s="192" t="s">
        <v>35</v>
      </c>
      <c r="C52" s="221">
        <f t="shared" si="2"/>
        <v>0</v>
      </c>
      <c r="D52" s="222"/>
      <c r="E52" s="223"/>
      <c r="F52" s="224"/>
    </row>
    <row r="53" spans="2:6" x14ac:dyDescent="0.35">
      <c r="B53" s="192" t="s">
        <v>36</v>
      </c>
      <c r="C53" s="221">
        <f t="shared" si="2"/>
        <v>10200</v>
      </c>
      <c r="D53" s="222">
        <f>+F16</f>
        <v>10200</v>
      </c>
      <c r="E53" s="223"/>
      <c r="F53" s="224"/>
    </row>
    <row r="54" spans="2:6" x14ac:dyDescent="0.35">
      <c r="B54" s="193" t="s">
        <v>53</v>
      </c>
      <c r="C54" s="221">
        <f t="shared" si="2"/>
        <v>0</v>
      </c>
      <c r="D54" s="222"/>
      <c r="E54" s="223"/>
      <c r="F54" s="224"/>
    </row>
    <row r="55" spans="2:6" x14ac:dyDescent="0.35">
      <c r="B55" s="193" t="s">
        <v>37</v>
      </c>
      <c r="C55" s="221">
        <f t="shared" si="2"/>
        <v>7715.31</v>
      </c>
      <c r="D55" s="222">
        <f>+F17</f>
        <v>7715.31</v>
      </c>
      <c r="E55" s="223"/>
      <c r="F55" s="224"/>
    </row>
    <row r="56" spans="2:6" x14ac:dyDescent="0.35">
      <c r="B56" s="140" t="s">
        <v>38</v>
      </c>
      <c r="C56" s="225">
        <f>SUM(C49:C55)</f>
        <v>117026.11148769299</v>
      </c>
      <c r="D56" s="225">
        <f>SUM(D49:D55)</f>
        <v>117026.11148769299</v>
      </c>
      <c r="E56" s="225">
        <f>SUM(E49:E55)</f>
        <v>0</v>
      </c>
      <c r="F56" s="225">
        <f>SUM(F49:F55)</f>
        <v>0</v>
      </c>
    </row>
  </sheetData>
  <mergeCells count="20">
    <mergeCell ref="B47:F47"/>
    <mergeCell ref="B36:F36"/>
    <mergeCell ref="B7:B10"/>
    <mergeCell ref="B15:B18"/>
    <mergeCell ref="D15:D18"/>
    <mergeCell ref="E17:E18"/>
    <mergeCell ref="F17:F18"/>
    <mergeCell ref="B4:F4"/>
    <mergeCell ref="E5:F5"/>
    <mergeCell ref="D7:D10"/>
    <mergeCell ref="B12:F12"/>
    <mergeCell ref="E13:F13"/>
    <mergeCell ref="C13:C14"/>
    <mergeCell ref="D5:D6"/>
    <mergeCell ref="E7:E8"/>
    <mergeCell ref="F7:F8"/>
    <mergeCell ref="D13:D14"/>
    <mergeCell ref="B13:B14"/>
    <mergeCell ref="B5:B6"/>
    <mergeCell ref="C5:C6"/>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58"/>
  <sheetViews>
    <sheetView showGridLines="0" topLeftCell="A16" zoomScale="70" zoomScaleNormal="70" workbookViewId="0">
      <selection activeCell="A5" sqref="A5"/>
    </sheetView>
  </sheetViews>
  <sheetFormatPr defaultColWidth="9.1796875" defaultRowHeight="12" x14ac:dyDescent="0.3"/>
  <cols>
    <col min="1" max="1" width="1.54296875" style="178" customWidth="1"/>
    <col min="2" max="3" width="54.81640625" style="207" customWidth="1"/>
    <col min="4" max="4" width="12.453125" style="207" customWidth="1"/>
    <col min="5" max="5" width="25.7265625" style="207" customWidth="1"/>
    <col min="6" max="6" width="13.81640625" style="207" customWidth="1"/>
    <col min="7" max="7" width="20.81640625" style="178" customWidth="1"/>
    <col min="8" max="16384" width="9.1796875" style="178"/>
  </cols>
  <sheetData>
    <row r="3" spans="2:6" x14ac:dyDescent="0.3">
      <c r="B3" s="137" t="s">
        <v>80</v>
      </c>
      <c r="C3" s="137"/>
      <c r="D3" s="137"/>
      <c r="E3" s="137"/>
      <c r="F3" s="138"/>
    </row>
    <row r="4" spans="2:6" x14ac:dyDescent="0.3">
      <c r="B4" s="572" t="s">
        <v>74</v>
      </c>
      <c r="C4" s="572"/>
      <c r="D4" s="572"/>
      <c r="E4" s="572"/>
      <c r="F4" s="572"/>
    </row>
    <row r="5" spans="2:6" x14ac:dyDescent="0.3">
      <c r="B5" s="562" t="s">
        <v>58</v>
      </c>
      <c r="C5" s="564" t="s">
        <v>59</v>
      </c>
      <c r="D5" s="564" t="s">
        <v>60</v>
      </c>
      <c r="E5" s="566" t="s">
        <v>61</v>
      </c>
      <c r="F5" s="566"/>
    </row>
    <row r="6" spans="2:6" x14ac:dyDescent="0.3">
      <c r="B6" s="563"/>
      <c r="C6" s="565"/>
      <c r="D6" s="565"/>
      <c r="E6" s="165" t="s">
        <v>31</v>
      </c>
      <c r="F6" s="139" t="s">
        <v>62</v>
      </c>
    </row>
    <row r="7" spans="2:6" x14ac:dyDescent="0.3">
      <c r="B7" s="537" t="s">
        <v>250</v>
      </c>
      <c r="C7" s="164" t="s">
        <v>145</v>
      </c>
      <c r="D7" s="549" t="s">
        <v>2</v>
      </c>
      <c r="E7" s="143" t="s">
        <v>32</v>
      </c>
      <c r="F7" s="157">
        <v>156492.884916699</v>
      </c>
    </row>
    <row r="8" spans="2:6" ht="24" customHeight="1" x14ac:dyDescent="0.3">
      <c r="B8" s="538"/>
      <c r="C8" s="537" t="s">
        <v>146</v>
      </c>
      <c r="D8" s="549"/>
      <c r="E8" s="143" t="s">
        <v>36</v>
      </c>
      <c r="F8" s="157">
        <v>9173.5993910142606</v>
      </c>
    </row>
    <row r="9" spans="2:6" ht="24" x14ac:dyDescent="0.3">
      <c r="B9" s="539"/>
      <c r="C9" s="539"/>
      <c r="D9" s="550"/>
      <c r="E9" s="176" t="s">
        <v>37</v>
      </c>
      <c r="F9" s="179">
        <v>147.44317103386479</v>
      </c>
    </row>
    <row r="10" spans="2:6" x14ac:dyDescent="0.3">
      <c r="B10" s="246" t="s">
        <v>75</v>
      </c>
      <c r="C10" s="135"/>
      <c r="D10" s="50"/>
      <c r="E10" s="135"/>
      <c r="F10" s="247">
        <f>SUM(F7:F9)</f>
        <v>165813.92747874712</v>
      </c>
    </row>
    <row r="11" spans="2:6" ht="31.5" customHeight="1" x14ac:dyDescent="0.3">
      <c r="B11" s="559" t="s">
        <v>63</v>
      </c>
      <c r="C11" s="560"/>
      <c r="D11" s="560"/>
      <c r="E11" s="560"/>
      <c r="F11" s="561"/>
    </row>
    <row r="12" spans="2:6" x14ac:dyDescent="0.3">
      <c r="B12" s="562" t="s">
        <v>58</v>
      </c>
      <c r="C12" s="564" t="s">
        <v>59</v>
      </c>
      <c r="D12" s="564" t="s">
        <v>60</v>
      </c>
      <c r="E12" s="566" t="s">
        <v>61</v>
      </c>
      <c r="F12" s="566"/>
    </row>
    <row r="13" spans="2:6" x14ac:dyDescent="0.3">
      <c r="B13" s="563"/>
      <c r="C13" s="565"/>
      <c r="D13" s="565"/>
      <c r="E13" s="165" t="s">
        <v>31</v>
      </c>
      <c r="F13" s="165" t="s">
        <v>62</v>
      </c>
    </row>
    <row r="14" spans="2:6" ht="33.75" customHeight="1" x14ac:dyDescent="0.3">
      <c r="B14" s="655" t="s">
        <v>270</v>
      </c>
      <c r="C14" s="241" t="s">
        <v>252</v>
      </c>
      <c r="D14" s="583" t="s">
        <v>3</v>
      </c>
      <c r="E14" s="133" t="s">
        <v>32</v>
      </c>
      <c r="F14" s="158">
        <v>132961.69</v>
      </c>
    </row>
    <row r="15" spans="2:6" ht="41.25" customHeight="1" x14ac:dyDescent="0.3">
      <c r="B15" s="656"/>
      <c r="C15" s="472" t="s">
        <v>254</v>
      </c>
      <c r="D15" s="584"/>
      <c r="E15" s="133" t="s">
        <v>36</v>
      </c>
      <c r="F15" s="158">
        <v>22000</v>
      </c>
    </row>
    <row r="16" spans="2:6" ht="37.5" customHeight="1" x14ac:dyDescent="0.3">
      <c r="B16" s="656"/>
      <c r="C16" s="472" t="s">
        <v>253</v>
      </c>
      <c r="D16" s="584"/>
      <c r="E16" s="545" t="s">
        <v>37</v>
      </c>
      <c r="F16" s="657">
        <v>14018.69</v>
      </c>
    </row>
    <row r="17" spans="2:7" ht="35.25" customHeight="1" x14ac:dyDescent="0.3">
      <c r="B17" s="656"/>
      <c r="C17" s="472" t="s">
        <v>255</v>
      </c>
      <c r="D17" s="584"/>
      <c r="E17" s="547"/>
      <c r="F17" s="658"/>
    </row>
    <row r="18" spans="2:7" x14ac:dyDescent="0.3">
      <c r="B18" s="246" t="s">
        <v>38</v>
      </c>
      <c r="C18" s="135"/>
      <c r="D18" s="50"/>
      <c r="E18" s="135"/>
      <c r="F18" s="247">
        <f>SUM(F14:F17)</f>
        <v>168980.38</v>
      </c>
    </row>
    <row r="19" spans="2:7" ht="24" x14ac:dyDescent="0.3">
      <c r="B19" s="537" t="s">
        <v>251</v>
      </c>
      <c r="C19" s="176" t="s">
        <v>147</v>
      </c>
      <c r="D19" s="549" t="s">
        <v>2</v>
      </c>
      <c r="E19" s="143" t="s">
        <v>32</v>
      </c>
      <c r="F19" s="157">
        <v>31816.731472300002</v>
      </c>
    </row>
    <row r="20" spans="2:7" ht="24" customHeight="1" x14ac:dyDescent="0.3">
      <c r="B20" s="538"/>
      <c r="C20" s="551" t="s">
        <v>148</v>
      </c>
      <c r="D20" s="549"/>
      <c r="E20" s="143" t="s">
        <v>36</v>
      </c>
      <c r="F20" s="157">
        <v>4738.3985790332799</v>
      </c>
    </row>
    <row r="21" spans="2:7" ht="24" x14ac:dyDescent="0.3">
      <c r="B21" s="539"/>
      <c r="C21" s="552"/>
      <c r="D21" s="550"/>
      <c r="E21" s="176" t="s">
        <v>37</v>
      </c>
      <c r="F21" s="179">
        <v>32.534065745686618</v>
      </c>
    </row>
    <row r="22" spans="2:7" x14ac:dyDescent="0.3">
      <c r="B22" s="246" t="s">
        <v>38</v>
      </c>
      <c r="C22" s="135"/>
      <c r="D22" s="50"/>
      <c r="E22" s="135"/>
      <c r="F22" s="247">
        <f>SUM(F19:F21)</f>
        <v>36587.664117078966</v>
      </c>
    </row>
    <row r="23" spans="2:7" x14ac:dyDescent="0.3">
      <c r="B23" s="195" t="s">
        <v>26</v>
      </c>
      <c r="C23" s="188"/>
      <c r="D23" s="188"/>
      <c r="E23" s="188"/>
      <c r="F23" s="256">
        <f>F18+F22+F10</f>
        <v>371381.97159582609</v>
      </c>
      <c r="G23" s="191"/>
    </row>
    <row r="24" spans="2:7" x14ac:dyDescent="0.3">
      <c r="B24" s="192" t="s">
        <v>67</v>
      </c>
      <c r="C24" s="192"/>
      <c r="D24" s="192"/>
      <c r="E24" s="192"/>
      <c r="F24" s="473">
        <f>0.07*F23</f>
        <v>25996.738011707828</v>
      </c>
      <c r="G24" s="191"/>
    </row>
    <row r="25" spans="2:7" x14ac:dyDescent="0.3">
      <c r="B25" s="195" t="s">
        <v>68</v>
      </c>
      <c r="C25" s="188"/>
      <c r="D25" s="188"/>
      <c r="E25" s="188"/>
      <c r="F25" s="256">
        <f>SUM(F23:F24)</f>
        <v>397378.70960753394</v>
      </c>
      <c r="G25" s="191"/>
    </row>
    <row r="28" spans="2:7" x14ac:dyDescent="0.3">
      <c r="B28" s="196" t="s">
        <v>69</v>
      </c>
      <c r="C28" s="196" t="s">
        <v>2</v>
      </c>
      <c r="D28" s="196" t="s">
        <v>3</v>
      </c>
      <c r="E28" s="196" t="s">
        <v>4</v>
      </c>
      <c r="F28" s="196" t="s">
        <v>111</v>
      </c>
    </row>
    <row r="29" spans="2:7" x14ac:dyDescent="0.3">
      <c r="B29" s="141" t="s">
        <v>32</v>
      </c>
      <c r="C29" s="198">
        <f>F19+F7</f>
        <v>188309.61638899898</v>
      </c>
      <c r="D29" s="199">
        <f>F14</f>
        <v>132961.69</v>
      </c>
      <c r="E29" s="233"/>
      <c r="F29" s="201">
        <f t="shared" ref="F29:F34" si="0">SUM(C29:E29)</f>
        <v>321271.30638899899</v>
      </c>
    </row>
    <row r="30" spans="2:7" x14ac:dyDescent="0.3">
      <c r="B30" s="141" t="s">
        <v>36</v>
      </c>
      <c r="C30" s="198">
        <f>F20+F8</f>
        <v>13911.997970047541</v>
      </c>
      <c r="D30" s="199">
        <f>F15</f>
        <v>22000</v>
      </c>
      <c r="E30" s="233"/>
      <c r="F30" s="201">
        <f t="shared" si="0"/>
        <v>35911.997970047538</v>
      </c>
    </row>
    <row r="31" spans="2:7" x14ac:dyDescent="0.3">
      <c r="B31" s="142" t="s">
        <v>37</v>
      </c>
      <c r="C31" s="198">
        <f>F21+F9</f>
        <v>179.97723677955139</v>
      </c>
      <c r="D31" s="199">
        <f>F16</f>
        <v>14018.69</v>
      </c>
      <c r="E31" s="233"/>
      <c r="F31" s="201">
        <f t="shared" si="0"/>
        <v>14198.667236779553</v>
      </c>
    </row>
    <row r="32" spans="2:7" x14ac:dyDescent="0.3">
      <c r="B32" s="202" t="s">
        <v>26</v>
      </c>
      <c r="C32" s="203">
        <f>SUM(C29:C31)</f>
        <v>202401.59159582609</v>
      </c>
      <c r="D32" s="203">
        <f>SUM(D29:D31)</f>
        <v>168980.38</v>
      </c>
      <c r="E32" s="203"/>
      <c r="F32" s="203">
        <f t="shared" si="0"/>
        <v>371381.97159582609</v>
      </c>
      <c r="G32" s="249">
        <f>C47+C58</f>
        <v>371381.97159582609</v>
      </c>
    </row>
    <row r="33" spans="2:6" x14ac:dyDescent="0.3">
      <c r="B33" s="192" t="s">
        <v>269</v>
      </c>
      <c r="C33" s="222">
        <f>0.07*C32</f>
        <v>14168.111411707827</v>
      </c>
      <c r="D33" s="199">
        <f>0.07*D32</f>
        <v>11828.626600000001</v>
      </c>
      <c r="E33" s="224"/>
      <c r="F33" s="201">
        <f t="shared" si="0"/>
        <v>25996.738011707828</v>
      </c>
    </row>
    <row r="34" spans="2:6" x14ac:dyDescent="0.3">
      <c r="B34" s="211" t="s">
        <v>1</v>
      </c>
      <c r="C34" s="236">
        <f>SUM(C32:C33)</f>
        <v>216569.70300753391</v>
      </c>
      <c r="D34" s="243">
        <f>SUM(D32:D33)</f>
        <v>180809.00659999999</v>
      </c>
      <c r="E34" s="250"/>
      <c r="F34" s="212">
        <f t="shared" si="0"/>
        <v>397378.70960753388</v>
      </c>
    </row>
    <row r="36" spans="2:6" ht="12.5" thickBot="1" x14ac:dyDescent="0.35">
      <c r="B36" s="214" t="s">
        <v>186</v>
      </c>
      <c r="C36" s="215">
        <f>'2019 Comparison'!F12</f>
        <v>202402</v>
      </c>
      <c r="D36" s="215">
        <f>'2019 Comparison'!G12</f>
        <v>162420</v>
      </c>
      <c r="E36" s="215">
        <f>'2019 Comparison'!H12</f>
        <v>0</v>
      </c>
      <c r="F36" s="215">
        <f>'2019 Comparison'!I12</f>
        <v>364822</v>
      </c>
    </row>
    <row r="37" spans="2:6" ht="12.5" thickTop="1" x14ac:dyDescent="0.3"/>
    <row r="38" spans="2:6" x14ac:dyDescent="0.3">
      <c r="B38" s="572" t="s">
        <v>57</v>
      </c>
      <c r="C38" s="572"/>
      <c r="D38" s="572"/>
      <c r="E38" s="572"/>
      <c r="F38" s="572"/>
    </row>
    <row r="39" spans="2:6" x14ac:dyDescent="0.3">
      <c r="B39" s="217" t="s">
        <v>31</v>
      </c>
      <c r="C39" s="218" t="s">
        <v>100</v>
      </c>
      <c r="D39" s="219" t="s">
        <v>2</v>
      </c>
      <c r="E39" s="238" t="s">
        <v>3</v>
      </c>
      <c r="F39" s="219" t="s">
        <v>4</v>
      </c>
    </row>
    <row r="40" spans="2:6" x14ac:dyDescent="0.3">
      <c r="B40" s="192" t="s">
        <v>32</v>
      </c>
      <c r="C40" s="221">
        <f>D40+E40+F40</f>
        <v>156492.884916699</v>
      </c>
      <c r="D40" s="222">
        <f>+F7</f>
        <v>156492.884916699</v>
      </c>
      <c r="E40" s="199"/>
      <c r="F40" s="224"/>
    </row>
    <row r="41" spans="2:6" x14ac:dyDescent="0.3">
      <c r="B41" s="192" t="s">
        <v>33</v>
      </c>
      <c r="C41" s="221">
        <f t="shared" ref="C41:C46" si="1">D41+E41+F41</f>
        <v>0</v>
      </c>
      <c r="D41" s="222"/>
      <c r="E41" s="199"/>
      <c r="F41" s="224"/>
    </row>
    <row r="42" spans="2:6" x14ac:dyDescent="0.3">
      <c r="B42" s="193" t="s">
        <v>34</v>
      </c>
      <c r="C42" s="221">
        <f t="shared" si="1"/>
        <v>0</v>
      </c>
      <c r="D42" s="222"/>
      <c r="E42" s="199"/>
      <c r="F42" s="224"/>
    </row>
    <row r="43" spans="2:6" x14ac:dyDescent="0.3">
      <c r="B43" s="192" t="s">
        <v>35</v>
      </c>
      <c r="C43" s="221">
        <f t="shared" si="1"/>
        <v>0</v>
      </c>
      <c r="D43" s="222"/>
      <c r="E43" s="199"/>
      <c r="F43" s="224"/>
    </row>
    <row r="44" spans="2:6" x14ac:dyDescent="0.3">
      <c r="B44" s="192" t="s">
        <v>36</v>
      </c>
      <c r="C44" s="221">
        <f t="shared" si="1"/>
        <v>9173.5993910142606</v>
      </c>
      <c r="D44" s="222">
        <f>+F8</f>
        <v>9173.5993910142606</v>
      </c>
      <c r="E44" s="199"/>
      <c r="F44" s="224"/>
    </row>
    <row r="45" spans="2:6" x14ac:dyDescent="0.3">
      <c r="B45" s="193" t="s">
        <v>53</v>
      </c>
      <c r="C45" s="221">
        <f t="shared" si="1"/>
        <v>0</v>
      </c>
      <c r="D45" s="222"/>
      <c r="E45" s="199"/>
      <c r="F45" s="224"/>
    </row>
    <row r="46" spans="2:6" x14ac:dyDescent="0.3">
      <c r="B46" s="193" t="s">
        <v>37</v>
      </c>
      <c r="C46" s="221">
        <f t="shared" si="1"/>
        <v>147.44317103386479</v>
      </c>
      <c r="D46" s="222">
        <f>+F9</f>
        <v>147.44317103386479</v>
      </c>
      <c r="E46" s="199"/>
      <c r="F46" s="224"/>
    </row>
    <row r="47" spans="2:6" x14ac:dyDescent="0.3">
      <c r="B47" s="140" t="s">
        <v>38</v>
      </c>
      <c r="C47" s="225">
        <f>SUM(C40:C46)</f>
        <v>165813.92747874712</v>
      </c>
      <c r="D47" s="225">
        <f>SUM(D40:D46)</f>
        <v>165813.92747874712</v>
      </c>
      <c r="E47" s="225">
        <f>SUM(E40:E46)</f>
        <v>0</v>
      </c>
      <c r="F47" s="225">
        <f>SUM(F40:F46)</f>
        <v>0</v>
      </c>
    </row>
    <row r="49" spans="2:6" ht="26.25" customHeight="1" x14ac:dyDescent="0.3">
      <c r="B49" s="559" t="s">
        <v>63</v>
      </c>
      <c r="C49" s="560"/>
      <c r="D49" s="560"/>
      <c r="E49" s="560"/>
      <c r="F49" s="561"/>
    </row>
    <row r="50" spans="2:6" x14ac:dyDescent="0.3">
      <c r="B50" s="217" t="s">
        <v>31</v>
      </c>
      <c r="C50" s="218" t="s">
        <v>100</v>
      </c>
      <c r="D50" s="219" t="s">
        <v>2</v>
      </c>
      <c r="E50" s="238" t="s">
        <v>3</v>
      </c>
      <c r="F50" s="219" t="s">
        <v>4</v>
      </c>
    </row>
    <row r="51" spans="2:6" x14ac:dyDescent="0.3">
      <c r="B51" s="192" t="s">
        <v>32</v>
      </c>
      <c r="C51" s="221">
        <f>D51+E51+F51</f>
        <v>164778.42147230002</v>
      </c>
      <c r="D51" s="222">
        <f>+F19</f>
        <v>31816.731472300002</v>
      </c>
      <c r="E51" s="199">
        <f>+D29</f>
        <v>132961.69</v>
      </c>
      <c r="F51" s="224"/>
    </row>
    <row r="52" spans="2:6" x14ac:dyDescent="0.3">
      <c r="B52" s="192" t="s">
        <v>33</v>
      </c>
      <c r="C52" s="221">
        <f t="shared" ref="C52:C57" si="2">D52+E52+F52</f>
        <v>0</v>
      </c>
      <c r="D52" s="222"/>
      <c r="E52" s="199"/>
      <c r="F52" s="224"/>
    </row>
    <row r="53" spans="2:6" x14ac:dyDescent="0.3">
      <c r="B53" s="193" t="s">
        <v>34</v>
      </c>
      <c r="C53" s="221">
        <f t="shared" si="2"/>
        <v>0</v>
      </c>
      <c r="D53" s="222"/>
      <c r="E53" s="199"/>
      <c r="F53" s="224"/>
    </row>
    <row r="54" spans="2:6" x14ac:dyDescent="0.3">
      <c r="B54" s="192" t="s">
        <v>35</v>
      </c>
      <c r="C54" s="221">
        <f t="shared" si="2"/>
        <v>0</v>
      </c>
      <c r="D54" s="222"/>
      <c r="E54" s="199"/>
      <c r="F54" s="224"/>
    </row>
    <row r="55" spans="2:6" x14ac:dyDescent="0.3">
      <c r="B55" s="192" t="s">
        <v>36</v>
      </c>
      <c r="C55" s="221">
        <f t="shared" si="2"/>
        <v>26738.398579033281</v>
      </c>
      <c r="D55" s="222">
        <f>+F20</f>
        <v>4738.3985790332799</v>
      </c>
      <c r="E55" s="199">
        <f>+D30</f>
        <v>22000</v>
      </c>
      <c r="F55" s="224"/>
    </row>
    <row r="56" spans="2:6" x14ac:dyDescent="0.3">
      <c r="B56" s="193" t="s">
        <v>53</v>
      </c>
      <c r="C56" s="221">
        <f t="shared" si="2"/>
        <v>0</v>
      </c>
      <c r="D56" s="222"/>
      <c r="E56" s="199"/>
      <c r="F56" s="224"/>
    </row>
    <row r="57" spans="2:6" x14ac:dyDescent="0.3">
      <c r="B57" s="193" t="s">
        <v>37</v>
      </c>
      <c r="C57" s="221">
        <f t="shared" si="2"/>
        <v>14051.224065745688</v>
      </c>
      <c r="D57" s="222">
        <f>+F21</f>
        <v>32.534065745686618</v>
      </c>
      <c r="E57" s="199">
        <f>+D31</f>
        <v>14018.69</v>
      </c>
      <c r="F57" s="224"/>
    </row>
    <row r="58" spans="2:6" x14ac:dyDescent="0.3">
      <c r="B58" s="140" t="s">
        <v>38</v>
      </c>
      <c r="C58" s="225">
        <f>SUM(C51:C57)</f>
        <v>205568.04411707897</v>
      </c>
      <c r="D58" s="225">
        <f>SUM(D51:D57)</f>
        <v>36587.664117078966</v>
      </c>
      <c r="E58" s="225">
        <f>SUM(E51:E57)</f>
        <v>168980.38</v>
      </c>
      <c r="F58" s="225">
        <f>SUM(F51:F57)</f>
        <v>0</v>
      </c>
    </row>
  </sheetData>
  <mergeCells count="22">
    <mergeCell ref="B4:F4"/>
    <mergeCell ref="B5:B6"/>
    <mergeCell ref="C5:C6"/>
    <mergeCell ref="D5:D6"/>
    <mergeCell ref="E5:F5"/>
    <mergeCell ref="B49:F49"/>
    <mergeCell ref="B38:F38"/>
    <mergeCell ref="B11:F11"/>
    <mergeCell ref="E12:F12"/>
    <mergeCell ref="D19:D21"/>
    <mergeCell ref="B19:B21"/>
    <mergeCell ref="F16:F17"/>
    <mergeCell ref="E16:E17"/>
    <mergeCell ref="C20:C21"/>
    <mergeCell ref="C8:C9"/>
    <mergeCell ref="B7:B9"/>
    <mergeCell ref="D7:D9"/>
    <mergeCell ref="B14:B17"/>
    <mergeCell ref="D14:D17"/>
    <mergeCell ref="B12:B13"/>
    <mergeCell ref="C12:C13"/>
    <mergeCell ref="D12:D13"/>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L70"/>
  <sheetViews>
    <sheetView showGridLines="0" topLeftCell="A22" zoomScale="80" zoomScaleNormal="80" workbookViewId="0">
      <selection activeCell="F63" sqref="F63"/>
    </sheetView>
  </sheetViews>
  <sheetFormatPr defaultColWidth="9.1796875" defaultRowHeight="12" x14ac:dyDescent="0.35"/>
  <cols>
    <col min="1" max="1" width="1.26953125" style="207" customWidth="1"/>
    <col min="2" max="2" width="59.1796875" style="207" customWidth="1"/>
    <col min="3" max="3" width="51.54296875" style="207" customWidth="1"/>
    <col min="4" max="4" width="10.54296875" style="207" customWidth="1"/>
    <col min="5" max="5" width="29.26953125" style="207" customWidth="1"/>
    <col min="6" max="6" width="8.54296875" style="207" bestFit="1" customWidth="1"/>
    <col min="7" max="7" width="17.7265625" style="207" customWidth="1"/>
    <col min="8" max="16384" width="9.1796875" style="207"/>
  </cols>
  <sheetData>
    <row r="3" spans="2:6" x14ac:dyDescent="0.35">
      <c r="B3" s="137" t="s">
        <v>81</v>
      </c>
      <c r="C3" s="137"/>
      <c r="D3" s="137"/>
      <c r="E3" s="137"/>
      <c r="F3" s="138"/>
    </row>
    <row r="4" spans="2:6" ht="30.75" customHeight="1" x14ac:dyDescent="0.35">
      <c r="B4" s="572" t="s">
        <v>74</v>
      </c>
      <c r="C4" s="572"/>
      <c r="D4" s="572"/>
      <c r="E4" s="572"/>
      <c r="F4" s="572"/>
    </row>
    <row r="5" spans="2:6" ht="16.5" customHeight="1" x14ac:dyDescent="0.35">
      <c r="B5" s="564" t="s">
        <v>58</v>
      </c>
      <c r="C5" s="564" t="s">
        <v>59</v>
      </c>
      <c r="D5" s="566" t="s">
        <v>60</v>
      </c>
      <c r="E5" s="566" t="s">
        <v>61</v>
      </c>
      <c r="F5" s="566"/>
    </row>
    <row r="6" spans="2:6" ht="32.25" customHeight="1" x14ac:dyDescent="0.35">
      <c r="B6" s="565"/>
      <c r="C6" s="565"/>
      <c r="D6" s="566"/>
      <c r="E6" s="165" t="s">
        <v>31</v>
      </c>
      <c r="F6" s="165" t="s">
        <v>62</v>
      </c>
    </row>
    <row r="7" spans="2:6" x14ac:dyDescent="0.35">
      <c r="B7" s="551" t="s">
        <v>228</v>
      </c>
      <c r="C7" s="537" t="s">
        <v>166</v>
      </c>
      <c r="D7" s="548" t="s">
        <v>2</v>
      </c>
      <c r="E7" s="143" t="s">
        <v>32</v>
      </c>
      <c r="F7" s="179">
        <v>107515</v>
      </c>
    </row>
    <row r="8" spans="2:6" ht="17.25" customHeight="1" x14ac:dyDescent="0.35">
      <c r="B8" s="615"/>
      <c r="C8" s="538"/>
      <c r="D8" s="549"/>
      <c r="E8" s="143" t="s">
        <v>36</v>
      </c>
      <c r="F8" s="179">
        <v>10000</v>
      </c>
    </row>
    <row r="9" spans="2:6" ht="25.5" customHeight="1" x14ac:dyDescent="0.35">
      <c r="B9" s="552"/>
      <c r="C9" s="539"/>
      <c r="D9" s="550"/>
      <c r="E9" s="176" t="s">
        <v>37</v>
      </c>
      <c r="F9" s="179"/>
    </row>
    <row r="10" spans="2:6" x14ac:dyDescent="0.35">
      <c r="B10" s="145" t="s">
        <v>75</v>
      </c>
      <c r="C10" s="145"/>
      <c r="D10" s="145"/>
      <c r="E10" s="145"/>
      <c r="F10" s="229">
        <f>SUM(F7:F9)</f>
        <v>117515</v>
      </c>
    </row>
    <row r="11" spans="2:6" ht="30.75" customHeight="1" x14ac:dyDescent="0.35">
      <c r="B11" s="559" t="s">
        <v>63</v>
      </c>
      <c r="C11" s="560"/>
      <c r="D11" s="560"/>
      <c r="E11" s="560"/>
      <c r="F11" s="561"/>
    </row>
    <row r="12" spans="2:6" ht="19.5" customHeight="1" x14ac:dyDescent="0.35">
      <c r="B12" s="564" t="s">
        <v>58</v>
      </c>
      <c r="C12" s="564" t="s">
        <v>59</v>
      </c>
      <c r="D12" s="564" t="s">
        <v>60</v>
      </c>
      <c r="E12" s="566" t="s">
        <v>61</v>
      </c>
      <c r="F12" s="566"/>
    </row>
    <row r="13" spans="2:6" x14ac:dyDescent="0.35">
      <c r="B13" s="565"/>
      <c r="C13" s="565"/>
      <c r="D13" s="565"/>
      <c r="E13" s="165" t="s">
        <v>31</v>
      </c>
      <c r="F13" s="165" t="s">
        <v>62</v>
      </c>
    </row>
    <row r="14" spans="2:6" ht="16.5" customHeight="1" x14ac:dyDescent="0.35">
      <c r="B14" s="659" t="s">
        <v>82</v>
      </c>
      <c r="C14" s="542" t="s">
        <v>256</v>
      </c>
      <c r="D14" s="590" t="s">
        <v>3</v>
      </c>
      <c r="E14" s="133" t="s">
        <v>32</v>
      </c>
      <c r="F14" s="162">
        <v>18860</v>
      </c>
    </row>
    <row r="15" spans="2:6" x14ac:dyDescent="0.35">
      <c r="B15" s="660"/>
      <c r="C15" s="662"/>
      <c r="D15" s="540"/>
      <c r="E15" s="133" t="s">
        <v>36</v>
      </c>
      <c r="F15" s="162">
        <v>4000</v>
      </c>
    </row>
    <row r="16" spans="2:6" ht="23.5" customHeight="1" x14ac:dyDescent="0.35">
      <c r="B16" s="660"/>
      <c r="C16" s="494" t="s">
        <v>257</v>
      </c>
      <c r="D16" s="541"/>
      <c r="E16" s="131" t="s">
        <v>37</v>
      </c>
      <c r="F16" s="162">
        <v>4673</v>
      </c>
    </row>
    <row r="17" spans="2:12" x14ac:dyDescent="0.35">
      <c r="B17" s="660"/>
      <c r="C17" s="145"/>
      <c r="D17" s="145"/>
      <c r="E17" s="145" t="s">
        <v>38</v>
      </c>
      <c r="F17" s="229">
        <f>SUM(F14:F16)</f>
        <v>27533</v>
      </c>
    </row>
    <row r="18" spans="2:12" ht="15" customHeight="1" x14ac:dyDescent="0.35">
      <c r="B18" s="660"/>
      <c r="C18" s="551" t="s">
        <v>167</v>
      </c>
      <c r="D18" s="548" t="s">
        <v>2</v>
      </c>
      <c r="E18" s="143" t="s">
        <v>32</v>
      </c>
      <c r="F18" s="157">
        <v>38698</v>
      </c>
    </row>
    <row r="19" spans="2:12" x14ac:dyDescent="0.35">
      <c r="B19" s="660"/>
      <c r="C19" s="615"/>
      <c r="D19" s="549"/>
      <c r="E19" s="143" t="s">
        <v>36</v>
      </c>
      <c r="F19" s="157"/>
    </row>
    <row r="20" spans="2:12" ht="16" customHeight="1" x14ac:dyDescent="0.35">
      <c r="B20" s="660"/>
      <c r="C20" s="552"/>
      <c r="D20" s="550"/>
      <c r="E20" s="176" t="s">
        <v>37</v>
      </c>
      <c r="F20" s="157"/>
    </row>
    <row r="21" spans="2:12" ht="13.5" customHeight="1" x14ac:dyDescent="0.35">
      <c r="B21" s="660"/>
      <c r="C21" s="495"/>
      <c r="D21" s="496"/>
      <c r="E21" s="145" t="s">
        <v>38</v>
      </c>
      <c r="F21" s="229">
        <f>SUM(F18:F20)</f>
        <v>38698</v>
      </c>
    </row>
    <row r="22" spans="2:12" ht="13.5" customHeight="1" x14ac:dyDescent="0.35">
      <c r="B22" s="660"/>
      <c r="C22" s="595" t="s">
        <v>310</v>
      </c>
      <c r="D22" s="592" t="s">
        <v>4</v>
      </c>
      <c r="E22" s="115" t="s">
        <v>32</v>
      </c>
      <c r="F22" s="184">
        <v>15300</v>
      </c>
    </row>
    <row r="23" spans="2:12" ht="13.5" customHeight="1" x14ac:dyDescent="0.35">
      <c r="B23" s="660"/>
      <c r="C23" s="596"/>
      <c r="D23" s="663"/>
      <c r="E23" s="115" t="s">
        <v>36</v>
      </c>
      <c r="F23" s="184">
        <v>3000</v>
      </c>
    </row>
    <row r="24" spans="2:12" ht="13.5" customHeight="1" x14ac:dyDescent="0.35">
      <c r="B24" s="660"/>
      <c r="C24" s="597"/>
      <c r="D24" s="664"/>
      <c r="E24" s="116" t="s">
        <v>37</v>
      </c>
      <c r="F24" s="184"/>
    </row>
    <row r="25" spans="2:12" ht="13.5" customHeight="1" x14ac:dyDescent="0.35">
      <c r="B25" s="661"/>
      <c r="C25" s="145"/>
      <c r="D25" s="145"/>
      <c r="E25" s="145" t="s">
        <v>38</v>
      </c>
      <c r="F25" s="229">
        <f>SUM(F22:F24)</f>
        <v>18300</v>
      </c>
    </row>
    <row r="26" spans="2:12" ht="12" customHeight="1" x14ac:dyDescent="0.35">
      <c r="B26" s="145" t="s">
        <v>38</v>
      </c>
      <c r="C26" s="495"/>
      <c r="D26" s="497"/>
      <c r="E26" s="145"/>
      <c r="F26" s="229">
        <f>SUM(F17+F21+F25)</f>
        <v>84531</v>
      </c>
    </row>
    <row r="27" spans="2:12" ht="19.5" customHeight="1" x14ac:dyDescent="0.35">
      <c r="B27" s="537" t="s">
        <v>162</v>
      </c>
      <c r="C27" s="551" t="s">
        <v>168</v>
      </c>
      <c r="D27" s="549" t="s">
        <v>2</v>
      </c>
      <c r="E27" s="171" t="s">
        <v>32</v>
      </c>
      <c r="F27" s="179">
        <v>38698</v>
      </c>
    </row>
    <row r="28" spans="2:12" ht="22.5" customHeight="1" x14ac:dyDescent="0.35">
      <c r="B28" s="538"/>
      <c r="C28" s="552"/>
      <c r="D28" s="549"/>
      <c r="E28" s="143" t="s">
        <v>36</v>
      </c>
      <c r="F28" s="179">
        <v>17671</v>
      </c>
    </row>
    <row r="29" spans="2:12" ht="24" customHeight="1" x14ac:dyDescent="0.35">
      <c r="B29" s="538"/>
      <c r="C29" s="176" t="s">
        <v>169</v>
      </c>
      <c r="D29" s="550"/>
      <c r="E29" s="176" t="s">
        <v>37</v>
      </c>
      <c r="F29" s="179">
        <v>5000</v>
      </c>
    </row>
    <row r="30" spans="2:12" ht="14.25" customHeight="1" x14ac:dyDescent="0.35">
      <c r="B30" s="145" t="s">
        <v>38</v>
      </c>
      <c r="C30" s="145"/>
      <c r="D30" s="145"/>
      <c r="E30" s="145"/>
      <c r="F30" s="229">
        <f>SUM(F27:F29)</f>
        <v>61369</v>
      </c>
    </row>
    <row r="31" spans="2:12" ht="17.25" customHeight="1" x14ac:dyDescent="0.35">
      <c r="B31" s="595" t="s">
        <v>83</v>
      </c>
      <c r="C31" s="598" t="s">
        <v>187</v>
      </c>
      <c r="D31" s="592" t="s">
        <v>4</v>
      </c>
      <c r="E31" s="115" t="s">
        <v>32</v>
      </c>
      <c r="F31" s="184">
        <v>65000</v>
      </c>
      <c r="H31" s="474"/>
      <c r="I31" s="474"/>
      <c r="J31" s="474"/>
      <c r="K31" s="474"/>
      <c r="L31" s="474"/>
    </row>
    <row r="32" spans="2:12" ht="13.5" customHeight="1" x14ac:dyDescent="0.35">
      <c r="B32" s="596"/>
      <c r="C32" s="599"/>
      <c r="D32" s="663"/>
      <c r="E32" s="115" t="s">
        <v>36</v>
      </c>
      <c r="F32" s="184">
        <v>6000</v>
      </c>
    </row>
    <row r="33" spans="2:7" ht="16" customHeight="1" x14ac:dyDescent="0.35">
      <c r="B33" s="597"/>
      <c r="C33" s="600"/>
      <c r="D33" s="664"/>
      <c r="E33" s="116" t="s">
        <v>37</v>
      </c>
      <c r="F33" s="184">
        <v>5000</v>
      </c>
    </row>
    <row r="34" spans="2:7" x14ac:dyDescent="0.35">
      <c r="B34" s="145" t="s">
        <v>38</v>
      </c>
      <c r="C34" s="145"/>
      <c r="D34" s="145"/>
      <c r="E34" s="145"/>
      <c r="F34" s="229">
        <f>SUM(F31:F33)</f>
        <v>76000</v>
      </c>
    </row>
    <row r="35" spans="2:7" x14ac:dyDescent="0.35">
      <c r="B35" s="145" t="s">
        <v>75</v>
      </c>
      <c r="C35" s="145"/>
      <c r="D35" s="145"/>
      <c r="E35" s="145"/>
      <c r="F35" s="229">
        <f>F34+F30+F21+F17</f>
        <v>203600</v>
      </c>
    </row>
    <row r="36" spans="2:7" x14ac:dyDescent="0.35">
      <c r="B36" s="195" t="s">
        <v>26</v>
      </c>
      <c r="C36" s="188"/>
      <c r="D36" s="188"/>
      <c r="E36" s="188"/>
      <c r="F36" s="275">
        <f>F35+F10</f>
        <v>321115</v>
      </c>
      <c r="G36" s="259"/>
    </row>
    <row r="37" spans="2:7" x14ac:dyDescent="0.35">
      <c r="B37" s="192" t="s">
        <v>67</v>
      </c>
      <c r="C37" s="192"/>
      <c r="D37" s="192"/>
      <c r="E37" s="192"/>
      <c r="F37" s="232">
        <f>0.07*F36</f>
        <v>22478.050000000003</v>
      </c>
      <c r="G37" s="259"/>
    </row>
    <row r="38" spans="2:7" x14ac:dyDescent="0.35">
      <c r="B38" s="195" t="s">
        <v>68</v>
      </c>
      <c r="C38" s="188"/>
      <c r="D38" s="188"/>
      <c r="E38" s="188"/>
      <c r="F38" s="275">
        <f>SUM(F36:F37)</f>
        <v>343593.05</v>
      </c>
      <c r="G38" s="259"/>
    </row>
    <row r="40" spans="2:7" x14ac:dyDescent="0.35">
      <c r="B40" s="196" t="s">
        <v>69</v>
      </c>
      <c r="C40" s="196" t="s">
        <v>2</v>
      </c>
      <c r="D40" s="196" t="s">
        <v>3</v>
      </c>
      <c r="E40" s="196" t="s">
        <v>4</v>
      </c>
      <c r="F40" s="196" t="s">
        <v>1</v>
      </c>
    </row>
    <row r="41" spans="2:7" x14ac:dyDescent="0.35">
      <c r="B41" s="141" t="s">
        <v>32</v>
      </c>
      <c r="C41" s="198">
        <f>F27+F7+F18</f>
        <v>184911</v>
      </c>
      <c r="D41" s="199">
        <f>F14</f>
        <v>18860</v>
      </c>
      <c r="E41" s="233">
        <f>F31+F22</f>
        <v>80300</v>
      </c>
      <c r="F41" s="201">
        <f>SUM(C41:E41)</f>
        <v>284071</v>
      </c>
    </row>
    <row r="42" spans="2:7" x14ac:dyDescent="0.35">
      <c r="B42" s="141" t="s">
        <v>36</v>
      </c>
      <c r="C42" s="198">
        <f>F28+F8</f>
        <v>27671</v>
      </c>
      <c r="D42" s="199">
        <f>F15</f>
        <v>4000</v>
      </c>
      <c r="E42" s="233">
        <f>F32+F23</f>
        <v>9000</v>
      </c>
      <c r="F42" s="201">
        <f>SUM(C42:E42)</f>
        <v>40671</v>
      </c>
    </row>
    <row r="43" spans="2:7" x14ac:dyDescent="0.35">
      <c r="B43" s="142" t="s">
        <v>37</v>
      </c>
      <c r="C43" s="198">
        <f>F29+F9</f>
        <v>5000</v>
      </c>
      <c r="D43" s="199">
        <f>F16</f>
        <v>4673</v>
      </c>
      <c r="E43" s="233">
        <f>F33</f>
        <v>5000</v>
      </c>
      <c r="F43" s="201">
        <f>SUM(C43:E43)</f>
        <v>14673</v>
      </c>
    </row>
    <row r="44" spans="2:7" x14ac:dyDescent="0.35">
      <c r="B44" s="202" t="s">
        <v>26</v>
      </c>
      <c r="C44" s="203">
        <f>SUM(C41:C43)</f>
        <v>217582</v>
      </c>
      <c r="D44" s="203">
        <f>SUM(D41:D43)</f>
        <v>27533</v>
      </c>
      <c r="E44" s="203">
        <f>SUM(E41:E43)</f>
        <v>94300</v>
      </c>
      <c r="F44" s="203">
        <f>SUM(F41:F43)</f>
        <v>339415</v>
      </c>
      <c r="G44" s="261">
        <f>C59+C70</f>
        <v>339415</v>
      </c>
    </row>
    <row r="45" spans="2:7" x14ac:dyDescent="0.35">
      <c r="B45" s="192" t="s">
        <v>269</v>
      </c>
      <c r="C45" s="222">
        <f>0.07*C44</f>
        <v>15230.740000000002</v>
      </c>
      <c r="D45" s="199">
        <f>0.07*D44</f>
        <v>1927.3100000000002</v>
      </c>
      <c r="E45" s="224">
        <f>0.07*E44</f>
        <v>6601.0000000000009</v>
      </c>
      <c r="F45" s="201">
        <f>0.07*F44</f>
        <v>23759.050000000003</v>
      </c>
    </row>
    <row r="46" spans="2:7" x14ac:dyDescent="0.35">
      <c r="B46" s="211" t="s">
        <v>1</v>
      </c>
      <c r="C46" s="276">
        <f>SUM(C44:C45)</f>
        <v>232812.74</v>
      </c>
      <c r="D46" s="243">
        <f>SUM(D44:D45)</f>
        <v>29460.31</v>
      </c>
      <c r="E46" s="250">
        <f>SUM(E44:E45)</f>
        <v>100901</v>
      </c>
      <c r="F46" s="212">
        <f>SUM(F44:F45)</f>
        <v>363174.05</v>
      </c>
    </row>
    <row r="48" spans="2:7" ht="12.5" thickBot="1" x14ac:dyDescent="0.4">
      <c r="B48" s="214" t="s">
        <v>186</v>
      </c>
      <c r="C48" s="215">
        <f>'2019 Comparison'!F8</f>
        <v>217583</v>
      </c>
      <c r="D48" s="215">
        <f>'2019 Comparison'!G8</f>
        <v>36520</v>
      </c>
      <c r="E48" s="215">
        <f>'2019 Comparison'!H8</f>
        <v>94300</v>
      </c>
      <c r="F48" s="215">
        <f>'2019 Comparison'!I8</f>
        <v>348403</v>
      </c>
    </row>
    <row r="49" spans="2:6" ht="12.5" thickTop="1" x14ac:dyDescent="0.35"/>
    <row r="50" spans="2:6" x14ac:dyDescent="0.35">
      <c r="B50" s="572" t="s">
        <v>57</v>
      </c>
      <c r="C50" s="572"/>
      <c r="D50" s="572"/>
      <c r="E50" s="572"/>
      <c r="F50" s="572"/>
    </row>
    <row r="51" spans="2:6" x14ac:dyDescent="0.35">
      <c r="B51" s="217" t="s">
        <v>31</v>
      </c>
      <c r="C51" s="218" t="s">
        <v>100</v>
      </c>
      <c r="D51" s="219" t="s">
        <v>2</v>
      </c>
      <c r="E51" s="238" t="s">
        <v>3</v>
      </c>
      <c r="F51" s="219" t="s">
        <v>4</v>
      </c>
    </row>
    <row r="52" spans="2:6" x14ac:dyDescent="0.35">
      <c r="B52" s="192" t="s">
        <v>32</v>
      </c>
      <c r="C52" s="221">
        <f>D52+E52+F52</f>
        <v>107515</v>
      </c>
      <c r="D52" s="222">
        <f>F7</f>
        <v>107515</v>
      </c>
      <c r="E52" s="199"/>
      <c r="F52" s="224"/>
    </row>
    <row r="53" spans="2:6" x14ac:dyDescent="0.35">
      <c r="B53" s="192" t="s">
        <v>33</v>
      </c>
      <c r="C53" s="221">
        <f t="shared" ref="C53:C58" si="0">D53+E53+F53</f>
        <v>0</v>
      </c>
      <c r="D53" s="222"/>
      <c r="E53" s="199"/>
      <c r="F53" s="224"/>
    </row>
    <row r="54" spans="2:6" x14ac:dyDescent="0.35">
      <c r="B54" s="193" t="s">
        <v>34</v>
      </c>
      <c r="C54" s="221">
        <f t="shared" si="0"/>
        <v>0</v>
      </c>
      <c r="D54" s="222"/>
      <c r="E54" s="199"/>
      <c r="F54" s="224"/>
    </row>
    <row r="55" spans="2:6" x14ac:dyDescent="0.35">
      <c r="B55" s="192" t="s">
        <v>35</v>
      </c>
      <c r="C55" s="221">
        <f t="shared" si="0"/>
        <v>0</v>
      </c>
      <c r="D55" s="222"/>
      <c r="E55" s="199"/>
      <c r="F55" s="224"/>
    </row>
    <row r="56" spans="2:6" x14ac:dyDescent="0.35">
      <c r="B56" s="192" t="s">
        <v>36</v>
      </c>
      <c r="C56" s="221">
        <f t="shared" si="0"/>
        <v>10000</v>
      </c>
      <c r="D56" s="222">
        <f>F8</f>
        <v>10000</v>
      </c>
      <c r="E56" s="199"/>
      <c r="F56" s="224"/>
    </row>
    <row r="57" spans="2:6" x14ac:dyDescent="0.35">
      <c r="B57" s="193" t="s">
        <v>53</v>
      </c>
      <c r="C57" s="221">
        <f t="shared" si="0"/>
        <v>0</v>
      </c>
      <c r="D57" s="222"/>
      <c r="E57" s="199"/>
      <c r="F57" s="224"/>
    </row>
    <row r="58" spans="2:6" x14ac:dyDescent="0.35">
      <c r="B58" s="193" t="s">
        <v>37</v>
      </c>
      <c r="C58" s="221">
        <f t="shared" si="0"/>
        <v>0</v>
      </c>
      <c r="D58" s="222">
        <f>+F9</f>
        <v>0</v>
      </c>
      <c r="E58" s="199"/>
      <c r="F58" s="224"/>
    </row>
    <row r="59" spans="2:6" x14ac:dyDescent="0.35">
      <c r="B59" s="140" t="s">
        <v>38</v>
      </c>
      <c r="C59" s="225">
        <f>SUM(C52:C58)</f>
        <v>117515</v>
      </c>
      <c r="D59" s="225">
        <f>SUM(D52:D58)</f>
        <v>117515</v>
      </c>
      <c r="E59" s="225">
        <f>SUM(E52:E58)</f>
        <v>0</v>
      </c>
      <c r="F59" s="225">
        <f>SUM(F52:F58)</f>
        <v>0</v>
      </c>
    </row>
    <row r="61" spans="2:6" ht="27.75" customHeight="1" x14ac:dyDescent="0.35">
      <c r="B61" s="559" t="s">
        <v>63</v>
      </c>
      <c r="C61" s="560"/>
      <c r="D61" s="560"/>
      <c r="E61" s="560"/>
      <c r="F61" s="561"/>
    </row>
    <row r="62" spans="2:6" x14ac:dyDescent="0.35">
      <c r="B62" s="217" t="s">
        <v>31</v>
      </c>
      <c r="C62" s="218" t="s">
        <v>100</v>
      </c>
      <c r="D62" s="219" t="s">
        <v>2</v>
      </c>
      <c r="E62" s="238" t="s">
        <v>3</v>
      </c>
      <c r="F62" s="219" t="s">
        <v>4</v>
      </c>
    </row>
    <row r="63" spans="2:6" x14ac:dyDescent="0.35">
      <c r="B63" s="192" t="s">
        <v>32</v>
      </c>
      <c r="C63" s="221">
        <f>D63+E63+F63</f>
        <v>176556</v>
      </c>
      <c r="D63" s="222">
        <f>F27+F18</f>
        <v>77396</v>
      </c>
      <c r="E63" s="199">
        <f>F14</f>
        <v>18860</v>
      </c>
      <c r="F63" s="224">
        <f>+E41</f>
        <v>80300</v>
      </c>
    </row>
    <row r="64" spans="2:6" x14ac:dyDescent="0.35">
      <c r="B64" s="192" t="s">
        <v>33</v>
      </c>
      <c r="C64" s="221">
        <f t="shared" ref="C64:C69" si="1">D64+E64+F64</f>
        <v>0</v>
      </c>
      <c r="D64" s="222"/>
      <c r="E64" s="199"/>
      <c r="F64" s="224"/>
    </row>
    <row r="65" spans="2:6" x14ac:dyDescent="0.35">
      <c r="B65" s="193" t="s">
        <v>34</v>
      </c>
      <c r="C65" s="221">
        <f t="shared" si="1"/>
        <v>0</v>
      </c>
      <c r="D65" s="222"/>
      <c r="E65" s="199"/>
      <c r="F65" s="224"/>
    </row>
    <row r="66" spans="2:6" x14ac:dyDescent="0.35">
      <c r="B66" s="192" t="s">
        <v>35</v>
      </c>
      <c r="C66" s="221">
        <f t="shared" si="1"/>
        <v>0</v>
      </c>
      <c r="D66" s="222"/>
      <c r="E66" s="199"/>
      <c r="F66" s="224"/>
    </row>
    <row r="67" spans="2:6" x14ac:dyDescent="0.35">
      <c r="B67" s="192" t="s">
        <v>36</v>
      </c>
      <c r="C67" s="221">
        <f t="shared" si="1"/>
        <v>30671</v>
      </c>
      <c r="D67" s="222">
        <f>F28</f>
        <v>17671</v>
      </c>
      <c r="E67" s="199">
        <f>F15</f>
        <v>4000</v>
      </c>
      <c r="F67" s="224">
        <f>+E42</f>
        <v>9000</v>
      </c>
    </row>
    <row r="68" spans="2:6" x14ac:dyDescent="0.35">
      <c r="B68" s="193" t="s">
        <v>53</v>
      </c>
      <c r="C68" s="221">
        <f t="shared" si="1"/>
        <v>0</v>
      </c>
      <c r="D68" s="222"/>
      <c r="E68" s="199"/>
      <c r="F68" s="224"/>
    </row>
    <row r="69" spans="2:6" x14ac:dyDescent="0.35">
      <c r="B69" s="193" t="s">
        <v>37</v>
      </c>
      <c r="C69" s="221">
        <f t="shared" si="1"/>
        <v>14673</v>
      </c>
      <c r="D69" s="222">
        <f>F29</f>
        <v>5000</v>
      </c>
      <c r="E69" s="199">
        <f>F16</f>
        <v>4673</v>
      </c>
      <c r="F69" s="224">
        <f>+E43</f>
        <v>5000</v>
      </c>
    </row>
    <row r="70" spans="2:6" x14ac:dyDescent="0.35">
      <c r="B70" s="140" t="s">
        <v>38</v>
      </c>
      <c r="C70" s="225">
        <f>SUM(C63:C69)</f>
        <v>221900</v>
      </c>
      <c r="D70" s="225">
        <f>SUM(D63:D69)</f>
        <v>100067</v>
      </c>
      <c r="E70" s="225">
        <f>SUM(E63:E69)</f>
        <v>27533</v>
      </c>
      <c r="F70" s="225">
        <f>SUM(F63:F69)</f>
        <v>94300</v>
      </c>
    </row>
  </sheetData>
  <mergeCells count="28">
    <mergeCell ref="B61:F61"/>
    <mergeCell ref="B50:F50"/>
    <mergeCell ref="D27:D29"/>
    <mergeCell ref="D31:D33"/>
    <mergeCell ref="B27:B29"/>
    <mergeCell ref="C27:C28"/>
    <mergeCell ref="C31:C33"/>
    <mergeCell ref="B31:B33"/>
    <mergeCell ref="B4:F4"/>
    <mergeCell ref="E5:F5"/>
    <mergeCell ref="B11:F11"/>
    <mergeCell ref="B12:B13"/>
    <mergeCell ref="D12:D13"/>
    <mergeCell ref="C5:C6"/>
    <mergeCell ref="D5:D6"/>
    <mergeCell ref="B5:B6"/>
    <mergeCell ref="B7:B9"/>
    <mergeCell ref="C7:C9"/>
    <mergeCell ref="D7:D9"/>
    <mergeCell ref="C12:C13"/>
    <mergeCell ref="B14:B25"/>
    <mergeCell ref="D18:D20"/>
    <mergeCell ref="E12:F12"/>
    <mergeCell ref="C14:C15"/>
    <mergeCell ref="C18:C20"/>
    <mergeCell ref="D14:D16"/>
    <mergeCell ref="C22:C24"/>
    <mergeCell ref="D22:D24"/>
  </mergeCells>
  <pageMargins left="0.70866141732283472" right="0.70866141732283472" top="0.74803149606299213" bottom="0.74803149606299213" header="0.31496062992125984" footer="0.31496062992125984"/>
  <pageSetup paperSize="9" scale="78" orientation="landscape" horizontalDpi="300" verticalDpi="300" r:id="rId1"/>
  <rowBreaks count="1" manualBreakCount="1">
    <brk id="3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71"/>
  <sheetViews>
    <sheetView showGridLines="0" topLeftCell="A13" zoomScale="80" zoomScaleNormal="80" workbookViewId="0">
      <selection activeCell="D18" sqref="D18:D20"/>
    </sheetView>
  </sheetViews>
  <sheetFormatPr defaultColWidth="9.1796875" defaultRowHeight="12" x14ac:dyDescent="0.35"/>
  <cols>
    <col min="1" max="1" width="1.1796875" style="208" customWidth="1"/>
    <col min="2" max="2" width="54" style="208" customWidth="1"/>
    <col min="3" max="3" width="52.26953125" style="208" customWidth="1"/>
    <col min="4" max="4" width="10.1796875" style="208" customWidth="1"/>
    <col min="5" max="5" width="29.7265625" style="208" customWidth="1"/>
    <col min="6" max="6" width="14.1796875" style="208" customWidth="1"/>
    <col min="7" max="7" width="14.7265625" style="208" customWidth="1"/>
    <col min="8" max="16384" width="9.1796875" style="208"/>
  </cols>
  <sheetData>
    <row r="3" spans="2:6" ht="24" customHeight="1" x14ac:dyDescent="0.35">
      <c r="B3" s="665" t="s">
        <v>88</v>
      </c>
      <c r="C3" s="665"/>
      <c r="D3" s="159"/>
      <c r="E3" s="159"/>
      <c r="F3" s="277"/>
    </row>
    <row r="4" spans="2:6" ht="26.25" customHeight="1" x14ac:dyDescent="0.35">
      <c r="B4" s="559" t="s">
        <v>89</v>
      </c>
      <c r="C4" s="560"/>
      <c r="D4" s="560"/>
      <c r="E4" s="560"/>
      <c r="F4" s="561"/>
    </row>
    <row r="5" spans="2:6" x14ac:dyDescent="0.35">
      <c r="B5" s="562" t="s">
        <v>58</v>
      </c>
      <c r="C5" s="562" t="s">
        <v>59</v>
      </c>
      <c r="D5" s="566" t="s">
        <v>60</v>
      </c>
      <c r="E5" s="640" t="s">
        <v>61</v>
      </c>
      <c r="F5" s="641"/>
    </row>
    <row r="6" spans="2:6" ht="15" customHeight="1" x14ac:dyDescent="0.35">
      <c r="B6" s="563"/>
      <c r="C6" s="563"/>
      <c r="D6" s="566"/>
      <c r="E6" s="165" t="s">
        <v>31</v>
      </c>
      <c r="F6" s="139" t="s">
        <v>62</v>
      </c>
    </row>
    <row r="7" spans="2:6" ht="21" customHeight="1" x14ac:dyDescent="0.35">
      <c r="B7" s="551" t="s">
        <v>154</v>
      </c>
      <c r="C7" s="551" t="s">
        <v>185</v>
      </c>
      <c r="D7" s="549" t="s">
        <v>2</v>
      </c>
      <c r="E7" s="176" t="s">
        <v>32</v>
      </c>
      <c r="F7" s="279">
        <v>89599.752443180623</v>
      </c>
    </row>
    <row r="8" spans="2:6" ht="15" customHeight="1" x14ac:dyDescent="0.35">
      <c r="B8" s="615"/>
      <c r="C8" s="615"/>
      <c r="D8" s="549"/>
      <c r="E8" s="176" t="s">
        <v>36</v>
      </c>
      <c r="F8" s="280">
        <v>14632.604345020483</v>
      </c>
    </row>
    <row r="9" spans="2:6" x14ac:dyDescent="0.35">
      <c r="B9" s="615"/>
      <c r="C9" s="552"/>
      <c r="D9" s="549"/>
      <c r="E9" s="169" t="s">
        <v>37</v>
      </c>
      <c r="F9" s="281">
        <v>843.62072219690663</v>
      </c>
    </row>
    <row r="10" spans="2:6" x14ac:dyDescent="0.35">
      <c r="B10" s="145" t="s">
        <v>75</v>
      </c>
      <c r="C10" s="151"/>
      <c r="D10" s="298"/>
      <c r="E10" s="145"/>
      <c r="F10" s="299">
        <f>SUM(F7:F9)</f>
        <v>105075.97751039802</v>
      </c>
    </row>
    <row r="11" spans="2:6" ht="28.5" customHeight="1" x14ac:dyDescent="0.35">
      <c r="B11" s="559" t="s">
        <v>63</v>
      </c>
      <c r="C11" s="560"/>
      <c r="D11" s="560"/>
      <c r="E11" s="560"/>
      <c r="F11" s="561"/>
    </row>
    <row r="12" spans="2:6" ht="17.25" customHeight="1" x14ac:dyDescent="0.35">
      <c r="B12" s="562" t="s">
        <v>58</v>
      </c>
      <c r="C12" s="562" t="s">
        <v>59</v>
      </c>
      <c r="D12" s="566" t="s">
        <v>60</v>
      </c>
      <c r="E12" s="640" t="s">
        <v>61</v>
      </c>
      <c r="F12" s="641"/>
    </row>
    <row r="13" spans="2:6" ht="16.5" customHeight="1" x14ac:dyDescent="0.35">
      <c r="B13" s="563"/>
      <c r="C13" s="563"/>
      <c r="D13" s="566"/>
      <c r="E13" s="165" t="s">
        <v>31</v>
      </c>
      <c r="F13" s="165" t="s">
        <v>62</v>
      </c>
    </row>
    <row r="14" spans="2:6" ht="24" x14ac:dyDescent="0.35">
      <c r="B14" s="551" t="s">
        <v>258</v>
      </c>
      <c r="C14" s="119" t="s">
        <v>188</v>
      </c>
      <c r="D14" s="549" t="s">
        <v>2</v>
      </c>
      <c r="E14" s="176" t="s">
        <v>32</v>
      </c>
      <c r="F14" s="279">
        <v>62719.826710226429</v>
      </c>
    </row>
    <row r="15" spans="2:6" ht="30.75" customHeight="1" x14ac:dyDescent="0.35">
      <c r="B15" s="615"/>
      <c r="C15" s="591" t="s">
        <v>189</v>
      </c>
      <c r="D15" s="549"/>
      <c r="E15" s="176" t="s">
        <v>36</v>
      </c>
      <c r="F15" s="280">
        <v>10242.823041514337</v>
      </c>
    </row>
    <row r="16" spans="2:6" x14ac:dyDescent="0.35">
      <c r="B16" s="615"/>
      <c r="C16" s="591"/>
      <c r="D16" s="549"/>
      <c r="E16" s="169" t="s">
        <v>37</v>
      </c>
      <c r="F16" s="280">
        <v>590.53450553783466</v>
      </c>
    </row>
    <row r="17" spans="2:7" ht="15" customHeight="1" x14ac:dyDescent="0.35">
      <c r="B17" s="145" t="s">
        <v>38</v>
      </c>
      <c r="C17" s="151"/>
      <c r="D17" s="298"/>
      <c r="E17" s="145"/>
      <c r="F17" s="299">
        <f>SUM(F14:F16)</f>
        <v>73553.184257278597</v>
      </c>
    </row>
    <row r="18" spans="2:7" ht="18" customHeight="1" x14ac:dyDescent="0.35">
      <c r="B18" s="551" t="s">
        <v>138</v>
      </c>
      <c r="C18" s="648" t="s">
        <v>319</v>
      </c>
      <c r="D18" s="549" t="s">
        <v>2</v>
      </c>
      <c r="E18" s="170" t="s">
        <v>32</v>
      </c>
      <c r="F18" s="279">
        <v>26879.925732954187</v>
      </c>
    </row>
    <row r="19" spans="2:7" ht="18" customHeight="1" x14ac:dyDescent="0.35">
      <c r="B19" s="615"/>
      <c r="C19" s="649"/>
      <c r="D19" s="549"/>
      <c r="E19" s="176" t="s">
        <v>36</v>
      </c>
      <c r="F19" s="280">
        <v>4389.7813035061445</v>
      </c>
    </row>
    <row r="20" spans="2:7" ht="24" customHeight="1" x14ac:dyDescent="0.35">
      <c r="B20" s="552"/>
      <c r="C20" s="650"/>
      <c r="D20" s="550"/>
      <c r="E20" s="176" t="s">
        <v>37</v>
      </c>
      <c r="F20" s="280">
        <v>253.08621665907199</v>
      </c>
    </row>
    <row r="21" spans="2:7" ht="15.75" customHeight="1" x14ac:dyDescent="0.35">
      <c r="B21" s="145" t="s">
        <v>38</v>
      </c>
      <c r="C21" s="151"/>
      <c r="D21" s="298"/>
      <c r="E21" s="145"/>
      <c r="F21" s="299">
        <f>SUM(F18:F20)</f>
        <v>31522.793253119402</v>
      </c>
    </row>
    <row r="22" spans="2:7" ht="24" customHeight="1" x14ac:dyDescent="0.35">
      <c r="B22" s="595" t="s">
        <v>90</v>
      </c>
      <c r="C22" s="116" t="s">
        <v>122</v>
      </c>
      <c r="D22" s="593" t="s">
        <v>4</v>
      </c>
      <c r="E22" s="116" t="s">
        <v>32</v>
      </c>
      <c r="F22" s="278">
        <v>94000</v>
      </c>
    </row>
    <row r="23" spans="2:7" ht="24.75" customHeight="1" x14ac:dyDescent="0.35">
      <c r="B23" s="596"/>
      <c r="C23" s="598" t="s">
        <v>123</v>
      </c>
      <c r="D23" s="593"/>
      <c r="E23" s="116" t="s">
        <v>36</v>
      </c>
      <c r="F23" s="278">
        <v>0</v>
      </c>
    </row>
    <row r="24" spans="2:7" x14ac:dyDescent="0.35">
      <c r="B24" s="596"/>
      <c r="C24" s="600"/>
      <c r="D24" s="594"/>
      <c r="E24" s="116" t="s">
        <v>37</v>
      </c>
      <c r="F24" s="282">
        <v>0</v>
      </c>
    </row>
    <row r="25" spans="2:7" ht="16.5" customHeight="1" x14ac:dyDescent="0.35">
      <c r="B25" s="145" t="s">
        <v>38</v>
      </c>
      <c r="C25" s="151"/>
      <c r="D25" s="298"/>
      <c r="E25" s="145"/>
      <c r="F25" s="299">
        <f>SUM(F22:F24)</f>
        <v>94000</v>
      </c>
    </row>
    <row r="26" spans="2:7" ht="16.5" customHeight="1" x14ac:dyDescent="0.35">
      <c r="B26" s="145" t="s">
        <v>75</v>
      </c>
      <c r="C26" s="151"/>
      <c r="D26" s="298"/>
      <c r="E26" s="145"/>
      <c r="F26" s="299">
        <f>F17+F21+F25</f>
        <v>199075.97751039799</v>
      </c>
    </row>
    <row r="27" spans="2:7" x14ac:dyDescent="0.35">
      <c r="B27" s="283" t="s">
        <v>26</v>
      </c>
      <c r="C27" s="189"/>
      <c r="D27" s="189"/>
      <c r="E27" s="189"/>
      <c r="F27" s="284">
        <f>F26+F10</f>
        <v>304151.95502079604</v>
      </c>
      <c r="G27" s="285"/>
    </row>
    <row r="28" spans="2:7" x14ac:dyDescent="0.35">
      <c r="B28" s="193" t="s">
        <v>67</v>
      </c>
      <c r="C28" s="193"/>
      <c r="D28" s="193"/>
      <c r="E28" s="193"/>
      <c r="F28" s="206">
        <f>0.07*F27</f>
        <v>21290.636851455725</v>
      </c>
      <c r="G28" s="285"/>
    </row>
    <row r="29" spans="2:7" x14ac:dyDescent="0.35">
      <c r="B29" s="283" t="s">
        <v>68</v>
      </c>
      <c r="C29" s="189"/>
      <c r="D29" s="189"/>
      <c r="E29" s="189"/>
      <c r="F29" s="284">
        <f>SUM(F27:F28)</f>
        <v>325442.59187225177</v>
      </c>
      <c r="G29" s="285"/>
    </row>
    <row r="32" spans="2:7" x14ac:dyDescent="0.35">
      <c r="B32" s="197" t="s">
        <v>69</v>
      </c>
      <c r="C32" s="197" t="s">
        <v>2</v>
      </c>
      <c r="D32" s="197" t="s">
        <v>3</v>
      </c>
      <c r="E32" s="197" t="s">
        <v>4</v>
      </c>
      <c r="F32" s="197" t="s">
        <v>111</v>
      </c>
    </row>
    <row r="33" spans="2:7" x14ac:dyDescent="0.35">
      <c r="B33" s="142" t="s">
        <v>32</v>
      </c>
      <c r="C33" s="286">
        <f>F7+F14+F18</f>
        <v>179199.50488636125</v>
      </c>
      <c r="D33" s="223"/>
      <c r="E33" s="200">
        <f>F22</f>
        <v>94000</v>
      </c>
      <c r="F33" s="210">
        <f t="shared" ref="F33:F38" si="0">SUM(C33:E33)</f>
        <v>273199.50488636125</v>
      </c>
    </row>
    <row r="34" spans="2:7" x14ac:dyDescent="0.35">
      <c r="B34" s="142" t="s">
        <v>36</v>
      </c>
      <c r="C34" s="286">
        <f>F8+F15+F19</f>
        <v>29265.208690040967</v>
      </c>
      <c r="D34" s="223"/>
      <c r="E34" s="200">
        <f>F23</f>
        <v>0</v>
      </c>
      <c r="F34" s="210">
        <f t="shared" si="0"/>
        <v>29265.208690040967</v>
      </c>
    </row>
    <row r="35" spans="2:7" x14ac:dyDescent="0.35">
      <c r="B35" s="142" t="s">
        <v>37</v>
      </c>
      <c r="C35" s="286">
        <f>F9+F16+F20</f>
        <v>1687.2414443938135</v>
      </c>
      <c r="D35" s="223"/>
      <c r="E35" s="200">
        <f>F24</f>
        <v>0</v>
      </c>
      <c r="F35" s="210">
        <f t="shared" si="0"/>
        <v>1687.2414443938135</v>
      </c>
    </row>
    <row r="36" spans="2:7" x14ac:dyDescent="0.35">
      <c r="B36" s="287" t="s">
        <v>26</v>
      </c>
      <c r="C36" s="204">
        <f>SUM(C33:C35)</f>
        <v>210151.95502079604</v>
      </c>
      <c r="D36" s="204"/>
      <c r="E36" s="204">
        <f>SUM(E33:E35)</f>
        <v>94000</v>
      </c>
      <c r="F36" s="204">
        <f t="shared" si="0"/>
        <v>304151.95502079604</v>
      </c>
      <c r="G36" s="288">
        <f>C60+C71</f>
        <v>304151.95502079604</v>
      </c>
    </row>
    <row r="37" spans="2:7" x14ac:dyDescent="0.35">
      <c r="B37" s="193" t="s">
        <v>269</v>
      </c>
      <c r="C37" s="289">
        <f>0.07*C36</f>
        <v>14710.636851455723</v>
      </c>
      <c r="D37" s="223"/>
      <c r="E37" s="242">
        <f>0.07*E36</f>
        <v>6580.0000000000009</v>
      </c>
      <c r="F37" s="210">
        <f t="shared" si="0"/>
        <v>21290.636851455725</v>
      </c>
    </row>
    <row r="38" spans="2:7" x14ac:dyDescent="0.35">
      <c r="B38" s="290" t="s">
        <v>1</v>
      </c>
      <c r="C38" s="291">
        <f>SUM(C36:C37)</f>
        <v>224862.59187225177</v>
      </c>
      <c r="D38" s="292">
        <f>SUM(D36:D37)</f>
        <v>0</v>
      </c>
      <c r="E38" s="244">
        <f>SUM(E36:E37)</f>
        <v>100580</v>
      </c>
      <c r="F38" s="213">
        <f t="shared" si="0"/>
        <v>325442.59187225177</v>
      </c>
    </row>
    <row r="39" spans="2:7" ht="13.5" customHeight="1" x14ac:dyDescent="0.35"/>
    <row r="40" spans="2:7" hidden="1" x14ac:dyDescent="0.35">
      <c r="B40" s="293" t="s">
        <v>71</v>
      </c>
    </row>
    <row r="41" spans="2:7" hidden="1" x14ac:dyDescent="0.35">
      <c r="B41" s="197" t="s">
        <v>69</v>
      </c>
      <c r="C41" s="197" t="s">
        <v>2</v>
      </c>
      <c r="D41" s="197" t="s">
        <v>4</v>
      </c>
      <c r="E41" s="197" t="s">
        <v>1</v>
      </c>
    </row>
    <row r="42" spans="2:7" hidden="1" x14ac:dyDescent="0.35">
      <c r="B42" s="142" t="s">
        <v>32</v>
      </c>
      <c r="C42" s="210">
        <f>F14+F18</f>
        <v>89599.752443180623</v>
      </c>
      <c r="D42" s="210">
        <f>D33</f>
        <v>0</v>
      </c>
      <c r="E42" s="210">
        <f>SUM(C42:D42)</f>
        <v>89599.752443180623</v>
      </c>
    </row>
    <row r="43" spans="2:7" hidden="1" x14ac:dyDescent="0.35">
      <c r="B43" s="142" t="s">
        <v>36</v>
      </c>
      <c r="C43" s="210">
        <f>F15+F19</f>
        <v>14632.604345020482</v>
      </c>
      <c r="D43" s="210">
        <f>D34</f>
        <v>0</v>
      </c>
      <c r="E43" s="210">
        <f>SUM(C43:D43)</f>
        <v>14632.604345020482</v>
      </c>
    </row>
    <row r="44" spans="2:7" hidden="1" x14ac:dyDescent="0.35">
      <c r="B44" s="142" t="s">
        <v>37</v>
      </c>
      <c r="C44" s="210">
        <f>F16+F20</f>
        <v>843.62072219690663</v>
      </c>
      <c r="D44" s="210">
        <f>D35</f>
        <v>0</v>
      </c>
      <c r="E44" s="210">
        <f>SUM(C44:D44)</f>
        <v>843.62072219690663</v>
      </c>
    </row>
    <row r="45" spans="2:7" hidden="1" x14ac:dyDescent="0.35">
      <c r="B45" s="193" t="s">
        <v>26</v>
      </c>
      <c r="C45" s="210">
        <f>SUM(C42:C44)</f>
        <v>105075.97751039802</v>
      </c>
      <c r="D45" s="210">
        <f>SUM(D42:D44)</f>
        <v>0</v>
      </c>
      <c r="E45" s="210">
        <f>SUM(E42:E44)</f>
        <v>105075.97751039802</v>
      </c>
    </row>
    <row r="46" spans="2:7" hidden="1" x14ac:dyDescent="0.35">
      <c r="B46" s="193" t="s">
        <v>70</v>
      </c>
      <c r="C46" s="294">
        <f>0.07*C45</f>
        <v>7355.3184257278617</v>
      </c>
      <c r="D46" s="206">
        <f>0.07*D45</f>
        <v>0</v>
      </c>
      <c r="E46" s="206">
        <f>0.07*E45</f>
        <v>7355.3184257278617</v>
      </c>
    </row>
    <row r="47" spans="2:7" hidden="1" x14ac:dyDescent="0.35">
      <c r="B47" s="197" t="s">
        <v>1</v>
      </c>
      <c r="C47" s="295">
        <f>SUM(C45:C46)</f>
        <v>112431.29593612588</v>
      </c>
      <c r="D47" s="295">
        <f>SUM(D45:D46)</f>
        <v>0</v>
      </c>
      <c r="E47" s="295">
        <f>SUM(E45:E46)</f>
        <v>112431.29593612588</v>
      </c>
    </row>
    <row r="49" spans="2:6" ht="12.5" thickBot="1" x14ac:dyDescent="0.4">
      <c r="B49" s="214" t="s">
        <v>186</v>
      </c>
      <c r="C49" s="214">
        <f>'2019 Comparison'!F18</f>
        <v>210151</v>
      </c>
      <c r="D49" s="214">
        <f>'2019 Comparison'!G18</f>
        <v>0</v>
      </c>
      <c r="E49" s="214">
        <f>'2019 Comparison'!H18</f>
        <v>94000</v>
      </c>
      <c r="F49" s="214">
        <f>'2019 Comparison'!I18</f>
        <v>304151</v>
      </c>
    </row>
    <row r="50" spans="2:6" ht="12.5" thickTop="1" x14ac:dyDescent="0.35"/>
    <row r="51" spans="2:6" x14ac:dyDescent="0.35">
      <c r="B51" s="559" t="s">
        <v>57</v>
      </c>
      <c r="C51" s="560"/>
      <c r="D51" s="560"/>
      <c r="E51" s="560"/>
      <c r="F51" s="561"/>
    </row>
    <row r="52" spans="2:6" x14ac:dyDescent="0.35">
      <c r="B52" s="217" t="s">
        <v>31</v>
      </c>
      <c r="C52" s="218" t="s">
        <v>100</v>
      </c>
      <c r="D52" s="296" t="s">
        <v>2</v>
      </c>
      <c r="E52" s="220" t="s">
        <v>3</v>
      </c>
      <c r="F52" s="296" t="s">
        <v>4</v>
      </c>
    </row>
    <row r="53" spans="2:6" x14ac:dyDescent="0.35">
      <c r="B53" s="193" t="s">
        <v>32</v>
      </c>
      <c r="C53" s="297">
        <f>D53+E53+F53</f>
        <v>89599.752443180623</v>
      </c>
      <c r="D53" s="286">
        <f>F7</f>
        <v>89599.752443180623</v>
      </c>
      <c r="E53" s="223"/>
      <c r="F53" s="200"/>
    </row>
    <row r="54" spans="2:6" x14ac:dyDescent="0.35">
      <c r="B54" s="193" t="s">
        <v>33</v>
      </c>
      <c r="C54" s="297">
        <f t="shared" ref="C54:C59" si="1">D54+E54+F54</f>
        <v>0</v>
      </c>
      <c r="D54" s="286"/>
      <c r="E54" s="223"/>
      <c r="F54" s="200"/>
    </row>
    <row r="55" spans="2:6" x14ac:dyDescent="0.35">
      <c r="B55" s="193" t="s">
        <v>34</v>
      </c>
      <c r="C55" s="297">
        <f t="shared" si="1"/>
        <v>0</v>
      </c>
      <c r="D55" s="286"/>
      <c r="E55" s="223"/>
      <c r="F55" s="200"/>
    </row>
    <row r="56" spans="2:6" x14ac:dyDescent="0.35">
      <c r="B56" s="193" t="s">
        <v>35</v>
      </c>
      <c r="C56" s="297">
        <f t="shared" si="1"/>
        <v>0</v>
      </c>
      <c r="D56" s="286"/>
      <c r="E56" s="223"/>
      <c r="F56" s="200"/>
    </row>
    <row r="57" spans="2:6" x14ac:dyDescent="0.35">
      <c r="B57" s="193" t="s">
        <v>36</v>
      </c>
      <c r="C57" s="297">
        <f t="shared" si="1"/>
        <v>14632.604345020483</v>
      </c>
      <c r="D57" s="286">
        <f>F8</f>
        <v>14632.604345020483</v>
      </c>
      <c r="E57" s="223"/>
      <c r="F57" s="200"/>
    </row>
    <row r="58" spans="2:6" x14ac:dyDescent="0.35">
      <c r="B58" s="193" t="s">
        <v>53</v>
      </c>
      <c r="C58" s="297">
        <f t="shared" si="1"/>
        <v>0</v>
      </c>
      <c r="D58" s="286"/>
      <c r="E58" s="223"/>
      <c r="F58" s="200"/>
    </row>
    <row r="59" spans="2:6" x14ac:dyDescent="0.35">
      <c r="B59" s="193" t="s">
        <v>37</v>
      </c>
      <c r="C59" s="297">
        <f t="shared" si="1"/>
        <v>843.62072219690663</v>
      </c>
      <c r="D59" s="286">
        <f>F9</f>
        <v>843.62072219690663</v>
      </c>
      <c r="E59" s="223"/>
      <c r="F59" s="200"/>
    </row>
    <row r="60" spans="2:6" x14ac:dyDescent="0.35">
      <c r="B60" s="140" t="s">
        <v>38</v>
      </c>
      <c r="C60" s="226">
        <f>SUM(C53:C59)</f>
        <v>105075.97751039802</v>
      </c>
      <c r="D60" s="226">
        <f>SUM(D53:D59)</f>
        <v>105075.97751039802</v>
      </c>
      <c r="E60" s="226">
        <f>SUM(E53:E59)</f>
        <v>0</v>
      </c>
      <c r="F60" s="226">
        <f>SUM(F53:F59)</f>
        <v>0</v>
      </c>
    </row>
    <row r="62" spans="2:6" ht="23.25" customHeight="1" x14ac:dyDescent="0.35">
      <c r="B62" s="559" t="s">
        <v>63</v>
      </c>
      <c r="C62" s="560"/>
      <c r="D62" s="560"/>
      <c r="E62" s="560"/>
      <c r="F62" s="561"/>
    </row>
    <row r="63" spans="2:6" x14ac:dyDescent="0.35">
      <c r="B63" s="217" t="s">
        <v>31</v>
      </c>
      <c r="C63" s="218" t="s">
        <v>100</v>
      </c>
      <c r="D63" s="296" t="s">
        <v>2</v>
      </c>
      <c r="E63" s="220" t="s">
        <v>3</v>
      </c>
      <c r="F63" s="296" t="s">
        <v>4</v>
      </c>
    </row>
    <row r="64" spans="2:6" x14ac:dyDescent="0.35">
      <c r="B64" s="193" t="s">
        <v>32</v>
      </c>
      <c r="C64" s="297">
        <f>D64+E64+F64</f>
        <v>183599.75244318062</v>
      </c>
      <c r="D64" s="286">
        <f>F14+F18</f>
        <v>89599.752443180623</v>
      </c>
      <c r="E64" s="223"/>
      <c r="F64" s="200">
        <f>E33</f>
        <v>94000</v>
      </c>
    </row>
    <row r="65" spans="2:6" x14ac:dyDescent="0.35">
      <c r="B65" s="193" t="s">
        <v>33</v>
      </c>
      <c r="C65" s="297">
        <f t="shared" ref="C65:C70" si="2">D65+E65+F65</f>
        <v>0</v>
      </c>
      <c r="D65" s="286"/>
      <c r="E65" s="223"/>
      <c r="F65" s="200"/>
    </row>
    <row r="66" spans="2:6" x14ac:dyDescent="0.35">
      <c r="B66" s="193" t="s">
        <v>34</v>
      </c>
      <c r="C66" s="297">
        <f t="shared" si="2"/>
        <v>0</v>
      </c>
      <c r="D66" s="286"/>
      <c r="E66" s="223"/>
      <c r="F66" s="200"/>
    </row>
    <row r="67" spans="2:6" x14ac:dyDescent="0.35">
      <c r="B67" s="193" t="s">
        <v>35</v>
      </c>
      <c r="C67" s="297">
        <f t="shared" si="2"/>
        <v>0</v>
      </c>
      <c r="D67" s="286"/>
      <c r="E67" s="223"/>
      <c r="F67" s="200"/>
    </row>
    <row r="68" spans="2:6" x14ac:dyDescent="0.35">
      <c r="B68" s="193" t="s">
        <v>36</v>
      </c>
      <c r="C68" s="297">
        <f t="shared" si="2"/>
        <v>14632.604345020482</v>
      </c>
      <c r="D68" s="286">
        <f>F15+F19</f>
        <v>14632.604345020482</v>
      </c>
      <c r="E68" s="223"/>
      <c r="F68" s="200"/>
    </row>
    <row r="69" spans="2:6" x14ac:dyDescent="0.35">
      <c r="B69" s="193" t="s">
        <v>53</v>
      </c>
      <c r="C69" s="297">
        <f t="shared" si="2"/>
        <v>0</v>
      </c>
      <c r="D69" s="286"/>
      <c r="E69" s="223"/>
      <c r="F69" s="200"/>
    </row>
    <row r="70" spans="2:6" x14ac:dyDescent="0.35">
      <c r="B70" s="193" t="s">
        <v>37</v>
      </c>
      <c r="C70" s="297">
        <f t="shared" si="2"/>
        <v>843.62072219690663</v>
      </c>
      <c r="D70" s="286">
        <f>F16+F20</f>
        <v>843.62072219690663</v>
      </c>
      <c r="E70" s="223"/>
      <c r="F70" s="200"/>
    </row>
    <row r="71" spans="2:6" x14ac:dyDescent="0.35">
      <c r="B71" s="140" t="s">
        <v>38</v>
      </c>
      <c r="C71" s="226">
        <f>SUM(C64:C70)</f>
        <v>199075.97751039802</v>
      </c>
      <c r="D71" s="226">
        <f>SUM(D64:D70)</f>
        <v>105075.97751039802</v>
      </c>
      <c r="E71" s="226">
        <f>SUM(E64:E70)</f>
        <v>0</v>
      </c>
      <c r="F71" s="226">
        <f>SUM(F64:F70)</f>
        <v>94000</v>
      </c>
    </row>
  </sheetData>
  <mergeCells count="25">
    <mergeCell ref="B3:C3"/>
    <mergeCell ref="B4:F4"/>
    <mergeCell ref="E5:F5"/>
    <mergeCell ref="B5:B6"/>
    <mergeCell ref="D5:D6"/>
    <mergeCell ref="C5:C6"/>
    <mergeCell ref="B62:F62"/>
    <mergeCell ref="B51:F51"/>
    <mergeCell ref="C12:C13"/>
    <mergeCell ref="C18:C20"/>
    <mergeCell ref="D22:D24"/>
    <mergeCell ref="B14:B16"/>
    <mergeCell ref="B12:B13"/>
    <mergeCell ref="D12:D13"/>
    <mergeCell ref="B18:B20"/>
    <mergeCell ref="C23:C24"/>
    <mergeCell ref="B22:B24"/>
    <mergeCell ref="D18:D20"/>
    <mergeCell ref="C7:C9"/>
    <mergeCell ref="E12:F12"/>
    <mergeCell ref="D14:D16"/>
    <mergeCell ref="C15:C16"/>
    <mergeCell ref="B11:F11"/>
    <mergeCell ref="B7:B9"/>
    <mergeCell ref="D7:D9"/>
  </mergeCells>
  <pageMargins left="0.70866141732283472" right="0.70866141732283472" top="0.74803149606299213" bottom="0.74803149606299213" header="0.31496062992125984" footer="0.31496062992125984"/>
  <pageSetup paperSize="9" scale="8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49"/>
  <sheetViews>
    <sheetView showGridLines="0" topLeftCell="A10" zoomScale="80" zoomScaleNormal="80" workbookViewId="0">
      <selection activeCell="A5" sqref="A5"/>
    </sheetView>
  </sheetViews>
  <sheetFormatPr defaultColWidth="9.1796875" defaultRowHeight="12" x14ac:dyDescent="0.3"/>
  <cols>
    <col min="1" max="1" width="0.81640625" style="178" customWidth="1"/>
    <col min="2" max="2" width="45.26953125" style="207" customWidth="1"/>
    <col min="3" max="3" width="50.54296875" style="207" customWidth="1"/>
    <col min="4" max="4" width="10.54296875" style="207" customWidth="1"/>
    <col min="5" max="5" width="26.81640625" style="207" customWidth="1"/>
    <col min="6" max="6" width="14.1796875" style="207" customWidth="1"/>
    <col min="7" max="7" width="17.1796875" style="178" customWidth="1"/>
    <col min="8" max="16384" width="9.1796875" style="178"/>
  </cols>
  <sheetData>
    <row r="3" spans="2:7" x14ac:dyDescent="0.3">
      <c r="B3" s="137" t="s">
        <v>87</v>
      </c>
      <c r="C3" s="137"/>
      <c r="D3" s="137"/>
      <c r="E3" s="137"/>
      <c r="F3" s="138"/>
    </row>
    <row r="4" spans="2:7" ht="28.5" customHeight="1" x14ac:dyDescent="0.3">
      <c r="B4" s="559" t="s">
        <v>63</v>
      </c>
      <c r="C4" s="560"/>
      <c r="D4" s="560"/>
      <c r="E4" s="560"/>
      <c r="F4" s="561"/>
    </row>
    <row r="5" spans="2:7" ht="17.25" customHeight="1" x14ac:dyDescent="0.3">
      <c r="B5" s="562" t="s">
        <v>58</v>
      </c>
      <c r="C5" s="564" t="s">
        <v>59</v>
      </c>
      <c r="D5" s="566" t="s">
        <v>60</v>
      </c>
      <c r="E5" s="640" t="s">
        <v>61</v>
      </c>
      <c r="F5" s="641"/>
    </row>
    <row r="6" spans="2:7" ht="16.5" customHeight="1" x14ac:dyDescent="0.3">
      <c r="B6" s="563"/>
      <c r="C6" s="565"/>
      <c r="D6" s="566"/>
      <c r="E6" s="165" t="s">
        <v>31</v>
      </c>
      <c r="F6" s="139" t="s">
        <v>62</v>
      </c>
    </row>
    <row r="7" spans="2:7" ht="36" x14ac:dyDescent="0.3">
      <c r="B7" s="598" t="s">
        <v>259</v>
      </c>
      <c r="C7" s="116" t="s">
        <v>124</v>
      </c>
      <c r="D7" s="592" t="s">
        <v>4</v>
      </c>
      <c r="E7" s="115" t="s">
        <v>32</v>
      </c>
      <c r="F7" s="184">
        <v>170000</v>
      </c>
    </row>
    <row r="8" spans="2:7" ht="21" customHeight="1" x14ac:dyDescent="0.3">
      <c r="B8" s="599"/>
      <c r="C8" s="598" t="s">
        <v>125</v>
      </c>
      <c r="D8" s="593"/>
      <c r="E8" s="115" t="s">
        <v>36</v>
      </c>
      <c r="F8" s="184">
        <v>30000</v>
      </c>
    </row>
    <row r="9" spans="2:7" ht="24" x14ac:dyDescent="0.3">
      <c r="B9" s="600"/>
      <c r="C9" s="600"/>
      <c r="D9" s="594"/>
      <c r="E9" s="116" t="s">
        <v>37</v>
      </c>
      <c r="F9" s="184">
        <v>0</v>
      </c>
    </row>
    <row r="10" spans="2:7" x14ac:dyDescent="0.3">
      <c r="B10" s="145" t="s">
        <v>38</v>
      </c>
      <c r="C10" s="151"/>
      <c r="D10" s="298"/>
      <c r="E10" s="145"/>
      <c r="F10" s="299">
        <f>SUM(F7:F9)</f>
        <v>200000</v>
      </c>
    </row>
    <row r="11" spans="2:7" ht="24" x14ac:dyDescent="0.3">
      <c r="B11" s="595" t="s">
        <v>260</v>
      </c>
      <c r="C11" s="116" t="s">
        <v>126</v>
      </c>
      <c r="D11" s="592" t="s">
        <v>4</v>
      </c>
      <c r="E11" s="115" t="s">
        <v>32</v>
      </c>
      <c r="F11" s="150">
        <v>230000</v>
      </c>
    </row>
    <row r="12" spans="2:7" ht="24" x14ac:dyDescent="0.3">
      <c r="B12" s="596"/>
      <c r="C12" s="116" t="s">
        <v>127</v>
      </c>
      <c r="D12" s="593"/>
      <c r="E12" s="115" t="s">
        <v>36</v>
      </c>
      <c r="F12" s="150">
        <v>37000</v>
      </c>
    </row>
    <row r="13" spans="2:7" ht="24" x14ac:dyDescent="0.3">
      <c r="B13" s="597"/>
      <c r="C13" s="116" t="s">
        <v>128</v>
      </c>
      <c r="D13" s="594"/>
      <c r="E13" s="116" t="s">
        <v>37</v>
      </c>
      <c r="F13" s="184">
        <v>0</v>
      </c>
    </row>
    <row r="14" spans="2:7" x14ac:dyDescent="0.3">
      <c r="B14" s="145" t="s">
        <v>38</v>
      </c>
      <c r="C14" s="151"/>
      <c r="D14" s="298"/>
      <c r="E14" s="145"/>
      <c r="F14" s="299">
        <f>SUM(F11:F13)</f>
        <v>267000</v>
      </c>
    </row>
    <row r="15" spans="2:7" x14ac:dyDescent="0.3">
      <c r="B15" s="195" t="s">
        <v>26</v>
      </c>
      <c r="C15" s="188"/>
      <c r="D15" s="188"/>
      <c r="E15" s="188"/>
      <c r="F15" s="190">
        <f>F14+F10</f>
        <v>467000</v>
      </c>
      <c r="G15" s="191">
        <v>467000</v>
      </c>
    </row>
    <row r="16" spans="2:7" x14ac:dyDescent="0.3">
      <c r="B16" s="192" t="s">
        <v>67</v>
      </c>
      <c r="C16" s="192"/>
      <c r="D16" s="192"/>
      <c r="E16" s="192"/>
      <c r="F16" s="194">
        <f>0.07*F15</f>
        <v>32690.000000000004</v>
      </c>
      <c r="G16" s="191"/>
    </row>
    <row r="17" spans="2:7" x14ac:dyDescent="0.3">
      <c r="B17" s="195" t="s">
        <v>68</v>
      </c>
      <c r="C17" s="188"/>
      <c r="D17" s="188"/>
      <c r="E17" s="188"/>
      <c r="F17" s="190">
        <f>SUM(F15:F16)</f>
        <v>499690</v>
      </c>
      <c r="G17" s="191"/>
    </row>
    <row r="20" spans="2:7" x14ac:dyDescent="0.3">
      <c r="B20" s="196" t="s">
        <v>69</v>
      </c>
      <c r="C20" s="302" t="s">
        <v>2</v>
      </c>
      <c r="D20" s="302" t="s">
        <v>3</v>
      </c>
      <c r="E20" s="302" t="s">
        <v>4</v>
      </c>
      <c r="F20" s="302" t="s">
        <v>111</v>
      </c>
    </row>
    <row r="21" spans="2:7" x14ac:dyDescent="0.3">
      <c r="B21" s="141" t="s">
        <v>32</v>
      </c>
      <c r="C21" s="198"/>
      <c r="D21" s="199"/>
      <c r="E21" s="233">
        <f>F7+F11</f>
        <v>400000</v>
      </c>
      <c r="F21" s="201">
        <f t="shared" ref="F21:F26" si="0">SUM(C21:E21)</f>
        <v>400000</v>
      </c>
    </row>
    <row r="22" spans="2:7" x14ac:dyDescent="0.3">
      <c r="B22" s="141" t="s">
        <v>36</v>
      </c>
      <c r="C22" s="198"/>
      <c r="D22" s="199"/>
      <c r="E22" s="233">
        <f>F8+F12</f>
        <v>67000</v>
      </c>
      <c r="F22" s="201">
        <f t="shared" si="0"/>
        <v>67000</v>
      </c>
    </row>
    <row r="23" spans="2:7" x14ac:dyDescent="0.3">
      <c r="B23" s="142" t="s">
        <v>37</v>
      </c>
      <c r="C23" s="198"/>
      <c r="D23" s="199"/>
      <c r="E23" s="233">
        <f>F9+F13</f>
        <v>0</v>
      </c>
      <c r="F23" s="201">
        <f t="shared" si="0"/>
        <v>0</v>
      </c>
    </row>
    <row r="24" spans="2:7" x14ac:dyDescent="0.3">
      <c r="B24" s="202" t="s">
        <v>26</v>
      </c>
      <c r="C24" s="203"/>
      <c r="D24" s="234"/>
      <c r="E24" s="203">
        <f>SUM(E21:E23)</f>
        <v>467000</v>
      </c>
      <c r="F24" s="475">
        <f t="shared" si="0"/>
        <v>467000</v>
      </c>
      <c r="G24" s="249">
        <f>C38+C49</f>
        <v>467000</v>
      </c>
    </row>
    <row r="25" spans="2:7" x14ac:dyDescent="0.3">
      <c r="B25" s="192" t="s">
        <v>269</v>
      </c>
      <c r="C25" s="270"/>
      <c r="D25" s="271"/>
      <c r="E25" s="224">
        <f>0.07*E24</f>
        <v>32690.000000000004</v>
      </c>
      <c r="F25" s="201">
        <f t="shared" si="0"/>
        <v>32690.000000000004</v>
      </c>
    </row>
    <row r="26" spans="2:7" x14ac:dyDescent="0.3">
      <c r="B26" s="211" t="s">
        <v>1</v>
      </c>
      <c r="C26" s="276"/>
      <c r="D26" s="461"/>
      <c r="E26" s="476">
        <f>E25+E24</f>
        <v>499690</v>
      </c>
      <c r="F26" s="212">
        <f t="shared" si="0"/>
        <v>499690</v>
      </c>
    </row>
    <row r="27" spans="2:7" ht="12.5" thickBot="1" x14ac:dyDescent="0.35">
      <c r="B27" s="214" t="s">
        <v>186</v>
      </c>
      <c r="C27" s="477">
        <f>'2019 Comparison'!F19</f>
        <v>0</v>
      </c>
      <c r="D27" s="477">
        <f>'2019 Comparison'!G19</f>
        <v>0</v>
      </c>
      <c r="E27" s="477">
        <f>'2019 Comparison'!H19</f>
        <v>467000</v>
      </c>
      <c r="F27" s="477">
        <f>'2019 Comparison'!I19</f>
        <v>467000</v>
      </c>
    </row>
    <row r="28" spans="2:7" ht="12.5" thickTop="1" x14ac:dyDescent="0.3"/>
    <row r="29" spans="2:7" x14ac:dyDescent="0.3">
      <c r="B29" s="559" t="s">
        <v>57</v>
      </c>
      <c r="C29" s="560"/>
      <c r="D29" s="560"/>
      <c r="E29" s="560"/>
      <c r="F29" s="561"/>
    </row>
    <row r="30" spans="2:7" x14ac:dyDescent="0.3">
      <c r="B30" s="217" t="s">
        <v>31</v>
      </c>
      <c r="C30" s="218" t="s">
        <v>100</v>
      </c>
      <c r="D30" s="219" t="s">
        <v>2</v>
      </c>
      <c r="E30" s="238" t="s">
        <v>3</v>
      </c>
      <c r="F30" s="219" t="s">
        <v>4</v>
      </c>
    </row>
    <row r="31" spans="2:7" x14ac:dyDescent="0.3">
      <c r="B31" s="192" t="s">
        <v>32</v>
      </c>
      <c r="C31" s="221">
        <f>D31+E31+F31</f>
        <v>400000</v>
      </c>
      <c r="D31" s="270"/>
      <c r="E31" s="271"/>
      <c r="F31" s="224">
        <f>E21</f>
        <v>400000</v>
      </c>
    </row>
    <row r="32" spans="2:7" x14ac:dyDescent="0.3">
      <c r="B32" s="192" t="s">
        <v>33</v>
      </c>
      <c r="C32" s="221">
        <f t="shared" ref="C32:C37" si="1">D32+E32+F32</f>
        <v>0</v>
      </c>
      <c r="D32" s="270"/>
      <c r="E32" s="271"/>
      <c r="F32" s="224"/>
    </row>
    <row r="33" spans="2:6" x14ac:dyDescent="0.3">
      <c r="B33" s="193" t="s">
        <v>34</v>
      </c>
      <c r="C33" s="221">
        <f t="shared" si="1"/>
        <v>0</v>
      </c>
      <c r="D33" s="270"/>
      <c r="E33" s="271"/>
      <c r="F33" s="224"/>
    </row>
    <row r="34" spans="2:6" x14ac:dyDescent="0.3">
      <c r="B34" s="192" t="s">
        <v>35</v>
      </c>
      <c r="C34" s="221">
        <f t="shared" si="1"/>
        <v>0</v>
      </c>
      <c r="D34" s="270"/>
      <c r="E34" s="271"/>
      <c r="F34" s="224"/>
    </row>
    <row r="35" spans="2:6" x14ac:dyDescent="0.3">
      <c r="B35" s="192" t="s">
        <v>36</v>
      </c>
      <c r="C35" s="221">
        <f t="shared" si="1"/>
        <v>67000</v>
      </c>
      <c r="D35" s="270"/>
      <c r="E35" s="271"/>
      <c r="F35" s="224">
        <f>E22</f>
        <v>67000</v>
      </c>
    </row>
    <row r="36" spans="2:6" x14ac:dyDescent="0.3">
      <c r="B36" s="193" t="s">
        <v>53</v>
      </c>
      <c r="C36" s="221">
        <f t="shared" si="1"/>
        <v>0</v>
      </c>
      <c r="D36" s="270"/>
      <c r="E36" s="271"/>
      <c r="F36" s="224"/>
    </row>
    <row r="37" spans="2:6" x14ac:dyDescent="0.3">
      <c r="B37" s="193" t="s">
        <v>37</v>
      </c>
      <c r="C37" s="221">
        <f t="shared" si="1"/>
        <v>0</v>
      </c>
      <c r="D37" s="270"/>
      <c r="E37" s="271"/>
      <c r="F37" s="224"/>
    </row>
    <row r="38" spans="2:6" x14ac:dyDescent="0.3">
      <c r="B38" s="140" t="s">
        <v>38</v>
      </c>
      <c r="C38" s="225">
        <f>SUM(C31:C37)</f>
        <v>467000</v>
      </c>
      <c r="D38" s="225">
        <f>SUM(D31:D37)</f>
        <v>0</v>
      </c>
      <c r="E38" s="225">
        <f>SUM(E31:E37)</f>
        <v>0</v>
      </c>
      <c r="F38" s="225">
        <f>SUM(F31:F37)</f>
        <v>467000</v>
      </c>
    </row>
    <row r="39" spans="2:6" ht="16.5" customHeight="1" x14ac:dyDescent="0.3"/>
    <row r="40" spans="2:6" ht="31.5" customHeight="1" x14ac:dyDescent="0.3">
      <c r="B40" s="559" t="s">
        <v>63</v>
      </c>
      <c r="C40" s="560"/>
      <c r="D40" s="560"/>
      <c r="E40" s="560"/>
      <c r="F40" s="561"/>
    </row>
    <row r="41" spans="2:6" x14ac:dyDescent="0.3">
      <c r="B41" s="217" t="s">
        <v>31</v>
      </c>
      <c r="C41" s="218" t="s">
        <v>100</v>
      </c>
      <c r="D41" s="219" t="s">
        <v>2</v>
      </c>
      <c r="E41" s="238" t="s">
        <v>3</v>
      </c>
      <c r="F41" s="219" t="s">
        <v>4</v>
      </c>
    </row>
    <row r="42" spans="2:6" x14ac:dyDescent="0.3">
      <c r="B42" s="192" t="s">
        <v>32</v>
      </c>
      <c r="C42" s="221">
        <f>D42+E42+F42</f>
        <v>0</v>
      </c>
      <c r="D42" s="270"/>
      <c r="E42" s="271"/>
      <c r="F42" s="224"/>
    </row>
    <row r="43" spans="2:6" x14ac:dyDescent="0.3">
      <c r="B43" s="192" t="s">
        <v>33</v>
      </c>
      <c r="C43" s="221">
        <f t="shared" ref="C43:C48" si="2">D43+E43+F43</f>
        <v>0</v>
      </c>
      <c r="D43" s="270"/>
      <c r="E43" s="271"/>
      <c r="F43" s="224"/>
    </row>
    <row r="44" spans="2:6" x14ac:dyDescent="0.3">
      <c r="B44" s="193" t="s">
        <v>34</v>
      </c>
      <c r="C44" s="221">
        <f t="shared" si="2"/>
        <v>0</v>
      </c>
      <c r="D44" s="270"/>
      <c r="E44" s="271"/>
      <c r="F44" s="224"/>
    </row>
    <row r="45" spans="2:6" x14ac:dyDescent="0.3">
      <c r="B45" s="192" t="s">
        <v>35</v>
      </c>
      <c r="C45" s="221">
        <f t="shared" si="2"/>
        <v>0</v>
      </c>
      <c r="D45" s="270"/>
      <c r="E45" s="271"/>
      <c r="F45" s="224"/>
    </row>
    <row r="46" spans="2:6" x14ac:dyDescent="0.3">
      <c r="B46" s="192" t="s">
        <v>36</v>
      </c>
      <c r="C46" s="221">
        <f t="shared" si="2"/>
        <v>0</v>
      </c>
      <c r="D46" s="270"/>
      <c r="E46" s="271"/>
      <c r="F46" s="224"/>
    </row>
    <row r="47" spans="2:6" x14ac:dyDescent="0.3">
      <c r="B47" s="193" t="s">
        <v>53</v>
      </c>
      <c r="C47" s="221">
        <f t="shared" si="2"/>
        <v>0</v>
      </c>
      <c r="D47" s="270"/>
      <c r="E47" s="271"/>
      <c r="F47" s="224"/>
    </row>
    <row r="48" spans="2:6" x14ac:dyDescent="0.3">
      <c r="B48" s="193" t="s">
        <v>37</v>
      </c>
      <c r="C48" s="221">
        <f t="shared" si="2"/>
        <v>0</v>
      </c>
      <c r="D48" s="270"/>
      <c r="E48" s="271"/>
      <c r="F48" s="224"/>
    </row>
    <row r="49" spans="2:6" x14ac:dyDescent="0.3">
      <c r="B49" s="140" t="s">
        <v>38</v>
      </c>
      <c r="C49" s="225">
        <f>SUM(C42:C48)</f>
        <v>0</v>
      </c>
      <c r="D49" s="225">
        <f>SUM(D42:D48)</f>
        <v>0</v>
      </c>
      <c r="E49" s="225">
        <f>SUM(E42:E48)</f>
        <v>0</v>
      </c>
      <c r="F49" s="225">
        <f>SUM(F42:F48)</f>
        <v>0</v>
      </c>
    </row>
  </sheetData>
  <mergeCells count="12">
    <mergeCell ref="B4:F4"/>
    <mergeCell ref="B5:B6"/>
    <mergeCell ref="C5:C6"/>
    <mergeCell ref="D5:D6"/>
    <mergeCell ref="E5:F5"/>
    <mergeCell ref="D11:D13"/>
    <mergeCell ref="B40:F40"/>
    <mergeCell ref="B29:F29"/>
    <mergeCell ref="B11:B13"/>
    <mergeCell ref="B7:B9"/>
    <mergeCell ref="C8:C9"/>
    <mergeCell ref="D7:D9"/>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H35"/>
  <sheetViews>
    <sheetView showGridLines="0" topLeftCell="A6" zoomScaleNormal="100" zoomScaleSheetLayoutView="75" workbookViewId="0">
      <selection activeCell="I26" sqref="I26"/>
    </sheetView>
  </sheetViews>
  <sheetFormatPr defaultColWidth="23.7265625" defaultRowHeight="14.5" x14ac:dyDescent="0.35"/>
  <cols>
    <col min="1" max="1" width="2.7265625" style="1" customWidth="1"/>
    <col min="2" max="2" width="46" style="2" customWidth="1"/>
    <col min="3" max="3" width="11.26953125" style="1" customWidth="1"/>
    <col min="4" max="4" width="11.54296875" style="1" customWidth="1"/>
    <col min="5" max="5" width="11.1796875" style="1" customWidth="1"/>
    <col min="6" max="6" width="12.81640625" style="1" customWidth="1"/>
    <col min="7" max="16384" width="23.7265625" style="1"/>
  </cols>
  <sheetData>
    <row r="2" spans="2:8" ht="24.75" customHeight="1" x14ac:dyDescent="0.35">
      <c r="B2" s="504" t="s">
        <v>29</v>
      </c>
      <c r="C2" s="504"/>
      <c r="D2" s="504"/>
      <c r="E2" s="504"/>
      <c r="F2" s="504"/>
    </row>
    <row r="3" spans="2:8" ht="26.25" customHeight="1" x14ac:dyDescent="0.35">
      <c r="B3" s="501" t="s">
        <v>30</v>
      </c>
      <c r="C3" s="502"/>
      <c r="D3" s="502"/>
      <c r="E3" s="502"/>
      <c r="F3" s="503"/>
      <c r="G3" s="4"/>
      <c r="H3" s="4"/>
    </row>
    <row r="4" spans="2:8" ht="20.149999999999999" customHeight="1" x14ac:dyDescent="0.35">
      <c r="B4" s="51" t="s">
        <v>31</v>
      </c>
      <c r="C4" s="51">
        <v>2018</v>
      </c>
      <c r="D4" s="52" t="s">
        <v>2</v>
      </c>
      <c r="E4" s="53" t="s">
        <v>3</v>
      </c>
      <c r="F4" s="52" t="s">
        <v>4</v>
      </c>
      <c r="G4" s="5"/>
      <c r="H4" s="3"/>
    </row>
    <row r="5" spans="2:8" ht="20.149999999999999" customHeight="1" x14ac:dyDescent="0.35">
      <c r="B5" s="48" t="s">
        <v>32</v>
      </c>
      <c r="C5" s="54" t="e">
        <f>#REF!+#REF!+#REF!</f>
        <v>#REF!</v>
      </c>
      <c r="D5" s="54" t="e">
        <f>#REF!+#REF!+#REF!</f>
        <v>#REF!</v>
      </c>
      <c r="E5" s="55" t="e">
        <f>'Cote d''Ivoire'!#REF!+#REF!+#REF!+Global!H5</f>
        <v>#REF!</v>
      </c>
      <c r="F5" s="55" t="e">
        <f>#REF!+#REF!+#REF!</f>
        <v>#REF!</v>
      </c>
      <c r="G5" s="5"/>
      <c r="H5" s="3"/>
    </row>
    <row r="6" spans="2:8" ht="20.149999999999999" customHeight="1" x14ac:dyDescent="0.35">
      <c r="B6" s="48" t="s">
        <v>33</v>
      </c>
      <c r="C6" s="54" t="e">
        <f>#REF!+#REF!+#REF!</f>
        <v>#REF!</v>
      </c>
      <c r="D6" s="54" t="e">
        <f>#REF!+#REF!+#REF!</f>
        <v>#REF!</v>
      </c>
      <c r="E6" s="55" t="e">
        <f>'Cote d''Ivoire'!#REF!+#REF!+#REF!+Global!H6</f>
        <v>#REF!</v>
      </c>
      <c r="F6" s="55" t="e">
        <f>#REF!+#REF!+#REF!</f>
        <v>#REF!</v>
      </c>
      <c r="G6" s="5"/>
    </row>
    <row r="7" spans="2:8" ht="20.149999999999999" customHeight="1" x14ac:dyDescent="0.35">
      <c r="B7" s="49" t="s">
        <v>34</v>
      </c>
      <c r="C7" s="54" t="e">
        <f>#REF!+#REF!+#REF!</f>
        <v>#REF!</v>
      </c>
      <c r="D7" s="54" t="e">
        <f>#REF!+#REF!+#REF!</f>
        <v>#REF!</v>
      </c>
      <c r="E7" s="55" t="e">
        <f>'Cote d''Ivoire'!#REF!+#REF!+#REF!+Global!H7</f>
        <v>#REF!</v>
      </c>
      <c r="F7" s="55" t="e">
        <f>#REF!+#REF!+#REF!</f>
        <v>#REF!</v>
      </c>
      <c r="G7" s="5"/>
      <c r="H7" s="3"/>
    </row>
    <row r="8" spans="2:8" ht="20.149999999999999" customHeight="1" x14ac:dyDescent="0.35">
      <c r="B8" s="48" t="s">
        <v>35</v>
      </c>
      <c r="C8" s="54" t="e">
        <f>#REF!+#REF!+#REF!</f>
        <v>#REF!</v>
      </c>
      <c r="D8" s="54" t="e">
        <f>#REF!+#REF!+#REF!</f>
        <v>#REF!</v>
      </c>
      <c r="E8" s="55" t="e">
        <f>'Cote d''Ivoire'!#REF!+#REF!+#REF!+Global!H8</f>
        <v>#REF!</v>
      </c>
      <c r="F8" s="55" t="e">
        <f>#REF!+#REF!+#REF!</f>
        <v>#REF!</v>
      </c>
      <c r="G8" s="5"/>
      <c r="H8" s="3"/>
    </row>
    <row r="9" spans="2:8" ht="20.149999999999999" customHeight="1" x14ac:dyDescent="0.35">
      <c r="B9" s="48" t="s">
        <v>36</v>
      </c>
      <c r="C9" s="54" t="e">
        <f>#REF!+#REF!+#REF!</f>
        <v>#REF!</v>
      </c>
      <c r="D9" s="54" t="e">
        <f>#REF!+#REF!+#REF!</f>
        <v>#REF!</v>
      </c>
      <c r="E9" s="55" t="e">
        <f>'Cote d''Ivoire'!#REF!+#REF!+#REF!+Global!H9</f>
        <v>#REF!</v>
      </c>
      <c r="F9" s="55" t="e">
        <f>#REF!+#REF!+#REF!</f>
        <v>#REF!</v>
      </c>
      <c r="G9" s="5"/>
      <c r="H9" s="3"/>
    </row>
    <row r="10" spans="2:8" ht="20.149999999999999" customHeight="1" x14ac:dyDescent="0.35">
      <c r="B10" s="49" t="s">
        <v>37</v>
      </c>
      <c r="C10" s="54" t="e">
        <f>#REF!+#REF!+#REF!</f>
        <v>#REF!</v>
      </c>
      <c r="D10" s="54" t="e">
        <f>#REF!+#REF!+#REF!</f>
        <v>#REF!</v>
      </c>
      <c r="E10" s="55" t="e">
        <f>'Cote d''Ivoire'!#REF!+#REF!+#REF!+Global!H11</f>
        <v>#REF!</v>
      </c>
      <c r="F10" s="55" t="e">
        <f>#REF!+#REF!+#REF!</f>
        <v>#REF!</v>
      </c>
      <c r="G10" s="5"/>
      <c r="H10" s="3"/>
    </row>
    <row r="11" spans="2:8" ht="20.149999999999999" customHeight="1" x14ac:dyDescent="0.35">
      <c r="B11" s="56" t="s">
        <v>38</v>
      </c>
      <c r="C11" s="57" t="e">
        <f>SUM(C5:C10)</f>
        <v>#REF!</v>
      </c>
      <c r="D11" s="57" t="e">
        <f>SUM(D5:D10)</f>
        <v>#REF!</v>
      </c>
      <c r="E11" s="57" t="e">
        <f>SUM(E5:E10)</f>
        <v>#REF!</v>
      </c>
      <c r="F11" s="57" t="e">
        <f>SUM(F5:F10)</f>
        <v>#REF!</v>
      </c>
    </row>
    <row r="12" spans="2:8" ht="28.5" customHeight="1" x14ac:dyDescent="0.35">
      <c r="B12" s="501" t="s">
        <v>39</v>
      </c>
      <c r="C12" s="502"/>
      <c r="D12" s="502"/>
      <c r="E12" s="502"/>
      <c r="F12" s="503"/>
    </row>
    <row r="13" spans="2:8" ht="20.149999999999999" customHeight="1" x14ac:dyDescent="0.35">
      <c r="B13" s="51" t="s">
        <v>31</v>
      </c>
      <c r="C13" s="51">
        <v>2018</v>
      </c>
      <c r="D13" s="52" t="s">
        <v>2</v>
      </c>
      <c r="E13" s="53" t="s">
        <v>3</v>
      </c>
      <c r="F13" s="52" t="s">
        <v>4</v>
      </c>
    </row>
    <row r="14" spans="2:8" ht="20.149999999999999" customHeight="1" x14ac:dyDescent="0.35">
      <c r="B14" s="48" t="s">
        <v>32</v>
      </c>
      <c r="C14" s="58" t="e">
        <f>#REF!+#REF!+#REF!</f>
        <v>#REF!</v>
      </c>
      <c r="D14" s="59" t="e">
        <f>#REF!+#REF!+#REF!</f>
        <v>#REF!</v>
      </c>
      <c r="E14" s="59" t="e">
        <f>#REF!+#REF!+#REF!</f>
        <v>#REF!</v>
      </c>
      <c r="F14" s="59" t="e">
        <f>#REF!+#REF!+#REF!</f>
        <v>#REF!</v>
      </c>
    </row>
    <row r="15" spans="2:8" ht="20.149999999999999" customHeight="1" x14ac:dyDescent="0.35">
      <c r="B15" s="48" t="s">
        <v>33</v>
      </c>
      <c r="C15" s="58" t="e">
        <f>#REF!+#REF!+#REF!</f>
        <v>#REF!</v>
      </c>
      <c r="D15" s="59" t="e">
        <f>#REF!+#REF!+#REF!</f>
        <v>#REF!</v>
      </c>
      <c r="E15" s="59" t="e">
        <f>#REF!+#REF!+#REF!</f>
        <v>#REF!</v>
      </c>
      <c r="F15" s="59" t="e">
        <f>#REF!+#REF!+#REF!</f>
        <v>#REF!</v>
      </c>
    </row>
    <row r="16" spans="2:8" ht="20.149999999999999" customHeight="1" x14ac:dyDescent="0.35">
      <c r="B16" s="49" t="s">
        <v>34</v>
      </c>
      <c r="C16" s="58" t="e">
        <f>#REF!+#REF!+#REF!</f>
        <v>#REF!</v>
      </c>
      <c r="D16" s="59" t="e">
        <f>#REF!+#REF!+#REF!</f>
        <v>#REF!</v>
      </c>
      <c r="E16" s="59" t="e">
        <f>#REF!+#REF!+#REF!</f>
        <v>#REF!</v>
      </c>
      <c r="F16" s="59" t="e">
        <f>#REF!+#REF!+#REF!</f>
        <v>#REF!</v>
      </c>
    </row>
    <row r="17" spans="2:6" ht="20.149999999999999" customHeight="1" x14ac:dyDescent="0.35">
      <c r="B17" s="48" t="s">
        <v>35</v>
      </c>
      <c r="C17" s="58" t="e">
        <f>#REF!+#REF!+#REF!</f>
        <v>#REF!</v>
      </c>
      <c r="D17" s="59" t="e">
        <f>#REF!+#REF!+#REF!</f>
        <v>#REF!</v>
      </c>
      <c r="E17" s="59" t="e">
        <f>#REF!+#REF!+#REF!</f>
        <v>#REF!</v>
      </c>
      <c r="F17" s="59" t="e">
        <f>#REF!+#REF!+#REF!</f>
        <v>#REF!</v>
      </c>
    </row>
    <row r="18" spans="2:6" ht="20.149999999999999" customHeight="1" x14ac:dyDescent="0.35">
      <c r="B18" s="48" t="s">
        <v>36</v>
      </c>
      <c r="C18" s="58" t="e">
        <f>#REF!+#REF!+#REF!</f>
        <v>#REF!</v>
      </c>
      <c r="D18" s="59" t="e">
        <f>#REF!+#REF!+#REF!</f>
        <v>#REF!</v>
      </c>
      <c r="E18" s="59" t="e">
        <f>#REF!+#REF!+#REF!</f>
        <v>#REF!</v>
      </c>
      <c r="F18" s="59" t="e">
        <f>#REF!+#REF!+#REF!</f>
        <v>#REF!</v>
      </c>
    </row>
    <row r="19" spans="2:6" ht="20.149999999999999" customHeight="1" x14ac:dyDescent="0.35">
      <c r="B19" s="49" t="s">
        <v>37</v>
      </c>
      <c r="C19" s="58" t="e">
        <f>#REF!+#REF!+#REF!</f>
        <v>#REF!</v>
      </c>
      <c r="D19" s="59" t="e">
        <f>#REF!+#REF!+#REF!</f>
        <v>#REF!</v>
      </c>
      <c r="E19" s="59" t="e">
        <f>#REF!+#REF!+#REF!</f>
        <v>#REF!</v>
      </c>
      <c r="F19" s="59" t="e">
        <f>#REF!+#REF!+#REF!</f>
        <v>#REF!</v>
      </c>
    </row>
    <row r="20" spans="2:6" ht="20.149999999999999" customHeight="1" x14ac:dyDescent="0.35">
      <c r="B20" s="60" t="s">
        <v>38</v>
      </c>
      <c r="C20" s="61" t="e">
        <f>SUM(C14:C19)</f>
        <v>#REF!</v>
      </c>
      <c r="D20" s="61" t="e">
        <f>SUM(D14:D19)</f>
        <v>#REF!</v>
      </c>
      <c r="E20" s="61" t="e">
        <f>SUM(E14:E19)</f>
        <v>#REF!</v>
      </c>
      <c r="F20" s="61" t="e">
        <f>SUM(F14:F19)</f>
        <v>#REF!</v>
      </c>
    </row>
    <row r="21" spans="2:6" ht="20.149999999999999" customHeight="1" x14ac:dyDescent="0.35">
      <c r="B21" s="62" t="s">
        <v>40</v>
      </c>
      <c r="C21" s="63" t="e">
        <f>C20+C11</f>
        <v>#REF!</v>
      </c>
      <c r="D21" s="63" t="e">
        <f>D20+D11</f>
        <v>#REF!</v>
      </c>
      <c r="E21" s="63" t="e">
        <f>E20+E11</f>
        <v>#REF!</v>
      </c>
      <c r="F21" s="63" t="e">
        <f>F20+F11</f>
        <v>#REF!</v>
      </c>
    </row>
    <row r="22" spans="2:6" ht="20.149999999999999" customHeight="1" x14ac:dyDescent="0.35">
      <c r="B22" s="62" t="s">
        <v>41</v>
      </c>
      <c r="C22" s="63" t="e">
        <f>0.07*C21</f>
        <v>#REF!</v>
      </c>
      <c r="D22" s="63" t="e">
        <f>0.07*D21</f>
        <v>#REF!</v>
      </c>
      <c r="E22" s="63" t="e">
        <f>0.07*E21</f>
        <v>#REF!</v>
      </c>
      <c r="F22" s="63" t="e">
        <f>0.07*F21</f>
        <v>#REF!</v>
      </c>
    </row>
    <row r="23" spans="2:6" ht="20.149999999999999" customHeight="1" x14ac:dyDescent="0.35">
      <c r="B23" s="64" t="s">
        <v>42</v>
      </c>
      <c r="C23" s="65" t="e">
        <f>SUM(C21:C22)</f>
        <v>#REF!</v>
      </c>
      <c r="D23" s="65" t="e">
        <f>SUM(D21:D22)</f>
        <v>#REF!</v>
      </c>
      <c r="E23" s="65" t="e">
        <f>SUM(E21:E22)</f>
        <v>#REF!</v>
      </c>
      <c r="F23" s="65" t="e">
        <f>SUM(F21:F22)</f>
        <v>#REF!</v>
      </c>
    </row>
    <row r="24" spans="2:6" x14ac:dyDescent="0.35">
      <c r="D24" s="6"/>
    </row>
    <row r="25" spans="2:6" ht="15" thickBot="1" x14ac:dyDescent="0.4">
      <c r="D25" s="6"/>
      <c r="E25" s="6"/>
    </row>
    <row r="26" spans="2:6" ht="26.5" thickBot="1" x14ac:dyDescent="0.4">
      <c r="B26" s="36" t="s">
        <v>43</v>
      </c>
      <c r="C26" s="37" t="s">
        <v>44</v>
      </c>
      <c r="D26" s="37" t="s">
        <v>45</v>
      </c>
      <c r="E26" s="37" t="s">
        <v>46</v>
      </c>
      <c r="F26" s="37" t="s">
        <v>47</v>
      </c>
    </row>
    <row r="27" spans="2:6" ht="15" thickBot="1" x14ac:dyDescent="0.4">
      <c r="B27" s="38" t="s">
        <v>32</v>
      </c>
      <c r="C27" s="39" t="s">
        <v>48</v>
      </c>
      <c r="D27" s="40" t="s">
        <v>48</v>
      </c>
      <c r="E27" s="40" t="s">
        <v>48</v>
      </c>
      <c r="F27" s="45" t="e">
        <f>C5+C14+#REF!+#REF!</f>
        <v>#REF!</v>
      </c>
    </row>
    <row r="28" spans="2:6" ht="15" thickBot="1" x14ac:dyDescent="0.4">
      <c r="B28" s="38" t="s">
        <v>33</v>
      </c>
      <c r="C28" s="39"/>
      <c r="D28" s="40"/>
      <c r="E28" s="40"/>
      <c r="F28" s="45" t="e">
        <f>C6+C15+#REF!+#REF!</f>
        <v>#REF!</v>
      </c>
    </row>
    <row r="29" spans="2:6" ht="29.5" thickBot="1" x14ac:dyDescent="0.4">
      <c r="B29" s="38" t="s">
        <v>34</v>
      </c>
      <c r="C29" s="39"/>
      <c r="D29" s="40"/>
      <c r="E29" s="40"/>
      <c r="F29" s="45" t="e">
        <f>C7+C16+#REF!+#REF!</f>
        <v>#REF!</v>
      </c>
    </row>
    <row r="30" spans="2:6" ht="15" thickBot="1" x14ac:dyDescent="0.4">
      <c r="B30" s="38" t="s">
        <v>35</v>
      </c>
      <c r="C30" s="39"/>
      <c r="D30" s="40"/>
      <c r="E30" s="40"/>
      <c r="F30" s="45" t="e">
        <f>C8+C17+#REF!+#REF!</f>
        <v>#REF!</v>
      </c>
    </row>
    <row r="31" spans="2:6" ht="15" thickBot="1" x14ac:dyDescent="0.4">
      <c r="B31" s="38" t="s">
        <v>36</v>
      </c>
      <c r="C31" s="39"/>
      <c r="D31" s="40"/>
      <c r="E31" s="40"/>
      <c r="F31" s="45" t="e">
        <f>C9+C18+#REF!+#REF!</f>
        <v>#REF!</v>
      </c>
    </row>
    <row r="32" spans="2:6" ht="15" thickBot="1" x14ac:dyDescent="0.4">
      <c r="B32" s="38" t="s">
        <v>37</v>
      </c>
      <c r="C32" s="41"/>
      <c r="D32" s="41"/>
      <c r="E32" s="41"/>
      <c r="F32" s="45" t="e">
        <f>C10+C19+#REF!+#REF!</f>
        <v>#REF!</v>
      </c>
    </row>
    <row r="33" spans="2:6" ht="15" thickBot="1" x14ac:dyDescent="0.4">
      <c r="B33" s="38" t="s">
        <v>49</v>
      </c>
      <c r="C33" s="39"/>
      <c r="D33" s="40"/>
      <c r="E33" s="40"/>
      <c r="F33" s="45" t="e">
        <f>SUM(F27:F32)</f>
        <v>#REF!</v>
      </c>
    </row>
    <row r="34" spans="2:6" ht="15" thickBot="1" x14ac:dyDescent="0.4">
      <c r="B34" s="38" t="s">
        <v>50</v>
      </c>
      <c r="C34" s="39"/>
      <c r="D34" s="40"/>
      <c r="E34" s="40"/>
      <c r="F34" s="45" t="e">
        <f>0.07*F33</f>
        <v>#REF!</v>
      </c>
    </row>
    <row r="35" spans="2:6" ht="15" thickBot="1" x14ac:dyDescent="0.4">
      <c r="B35" s="42" t="s">
        <v>51</v>
      </c>
      <c r="C35" s="43"/>
      <c r="D35" s="44"/>
      <c r="E35" s="44"/>
      <c r="F35" s="46" t="e">
        <f>SUM(F33:F34)</f>
        <v>#REF!</v>
      </c>
    </row>
  </sheetData>
  <mergeCells count="3">
    <mergeCell ref="B3:F3"/>
    <mergeCell ref="B12:F12"/>
    <mergeCell ref="B2:F2"/>
  </mergeCells>
  <printOptions horizontalCentered="1"/>
  <pageMargins left="0.23622047244094491" right="0.23622047244094491" top="0.74803149606299213" bottom="0.74803149606299213" header="0.31496062992125984" footer="0.31496062992125984"/>
  <pageSetup paperSize="8" scale="74" fitToHeight="13"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67"/>
  <sheetViews>
    <sheetView showGridLines="0" topLeftCell="A16" zoomScale="80" zoomScaleNormal="80" workbookViewId="0">
      <selection activeCell="F19" sqref="F19"/>
    </sheetView>
  </sheetViews>
  <sheetFormatPr defaultColWidth="9.1796875" defaultRowHeight="12" x14ac:dyDescent="0.3"/>
  <cols>
    <col min="1" max="1" width="0.54296875" style="178" customWidth="1"/>
    <col min="2" max="3" width="47.1796875" style="207" customWidth="1"/>
    <col min="4" max="4" width="13.54296875" style="207" customWidth="1"/>
    <col min="5" max="5" width="25.453125" style="207" customWidth="1"/>
    <col min="6" max="6" width="14.54296875" style="207" customWidth="1"/>
    <col min="7" max="7" width="16" style="178" customWidth="1"/>
    <col min="8" max="16384" width="9.1796875" style="178"/>
  </cols>
  <sheetData>
    <row r="3" spans="2:6" x14ac:dyDescent="0.3">
      <c r="B3" s="137" t="s">
        <v>94</v>
      </c>
      <c r="C3" s="137"/>
      <c r="D3" s="137"/>
      <c r="E3" s="137"/>
      <c r="F3" s="138"/>
    </row>
    <row r="4" spans="2:6" ht="25.5" customHeight="1" x14ac:dyDescent="0.3">
      <c r="B4" s="559" t="s">
        <v>89</v>
      </c>
      <c r="C4" s="560"/>
      <c r="D4" s="560"/>
      <c r="E4" s="560"/>
      <c r="F4" s="561"/>
    </row>
    <row r="5" spans="2:6" x14ac:dyDescent="0.3">
      <c r="B5" s="562" t="s">
        <v>58</v>
      </c>
      <c r="C5" s="564" t="s">
        <v>59</v>
      </c>
      <c r="D5" s="566" t="s">
        <v>60</v>
      </c>
      <c r="E5" s="640" t="s">
        <v>61</v>
      </c>
      <c r="F5" s="641"/>
    </row>
    <row r="6" spans="2:6" x14ac:dyDescent="0.3">
      <c r="B6" s="563"/>
      <c r="C6" s="565"/>
      <c r="D6" s="566"/>
      <c r="E6" s="165" t="s">
        <v>31</v>
      </c>
      <c r="F6" s="165" t="s">
        <v>62</v>
      </c>
    </row>
    <row r="7" spans="2:6" ht="14.5" customHeight="1" x14ac:dyDescent="0.3">
      <c r="B7" s="551" t="s">
        <v>153</v>
      </c>
      <c r="C7" s="551" t="s">
        <v>236</v>
      </c>
      <c r="D7" s="549" t="s">
        <v>2</v>
      </c>
      <c r="E7" s="143" t="s">
        <v>32</v>
      </c>
      <c r="F7" s="179">
        <v>89449.373486208933</v>
      </c>
    </row>
    <row r="8" spans="2:6" x14ac:dyDescent="0.3">
      <c r="B8" s="615"/>
      <c r="C8" s="615"/>
      <c r="D8" s="549"/>
      <c r="E8" s="143" t="s">
        <v>36</v>
      </c>
      <c r="F8" s="179">
        <v>13376.892690374671</v>
      </c>
    </row>
    <row r="9" spans="2:6" ht="24" x14ac:dyDescent="0.3">
      <c r="B9" s="615"/>
      <c r="C9" s="552"/>
      <c r="D9" s="550"/>
      <c r="E9" s="176" t="s">
        <v>37</v>
      </c>
      <c r="F9" s="179">
        <v>1645.0820088258008</v>
      </c>
    </row>
    <row r="10" spans="2:6" x14ac:dyDescent="0.3">
      <c r="B10" s="145" t="s">
        <v>75</v>
      </c>
      <c r="C10" s="151"/>
      <c r="D10" s="298"/>
      <c r="E10" s="145"/>
      <c r="F10" s="299">
        <f>SUM(F7:F9)</f>
        <v>104471.34818540941</v>
      </c>
    </row>
    <row r="11" spans="2:6" ht="28.5" customHeight="1" x14ac:dyDescent="0.3">
      <c r="B11" s="559" t="s">
        <v>63</v>
      </c>
      <c r="C11" s="560"/>
      <c r="D11" s="560"/>
      <c r="E11" s="560"/>
      <c r="F11" s="561"/>
    </row>
    <row r="12" spans="2:6" ht="17.25" customHeight="1" x14ac:dyDescent="0.3">
      <c r="B12" s="562" t="s">
        <v>58</v>
      </c>
      <c r="C12" s="564" t="s">
        <v>59</v>
      </c>
      <c r="D12" s="566" t="s">
        <v>60</v>
      </c>
      <c r="E12" s="640" t="s">
        <v>61</v>
      </c>
      <c r="F12" s="641"/>
    </row>
    <row r="13" spans="2:6" ht="16.5" customHeight="1" x14ac:dyDescent="0.3">
      <c r="B13" s="563"/>
      <c r="C13" s="565"/>
      <c r="D13" s="566"/>
      <c r="E13" s="165" t="s">
        <v>31</v>
      </c>
      <c r="F13" s="165" t="s">
        <v>62</v>
      </c>
    </row>
    <row r="14" spans="2:6" ht="24" customHeight="1" x14ac:dyDescent="0.3">
      <c r="B14" s="551" t="s">
        <v>261</v>
      </c>
      <c r="C14" s="118" t="s">
        <v>232</v>
      </c>
      <c r="D14" s="548" t="s">
        <v>2</v>
      </c>
      <c r="E14" s="143" t="s">
        <v>32</v>
      </c>
      <c r="F14" s="179">
        <v>89449.373486208933</v>
      </c>
    </row>
    <row r="15" spans="2:6" ht="23" customHeight="1" x14ac:dyDescent="0.3">
      <c r="B15" s="615"/>
      <c r="C15" s="118" t="s">
        <v>233</v>
      </c>
      <c r="D15" s="549"/>
      <c r="E15" s="143" t="s">
        <v>36</v>
      </c>
      <c r="F15" s="179">
        <v>13376.892690374671</v>
      </c>
    </row>
    <row r="16" spans="2:6" ht="22.5" customHeight="1" x14ac:dyDescent="0.3">
      <c r="B16" s="615"/>
      <c r="C16" s="149" t="s">
        <v>234</v>
      </c>
      <c r="D16" s="549"/>
      <c r="E16" s="551" t="s">
        <v>37</v>
      </c>
      <c r="F16" s="651">
        <v>1645.0820088258008</v>
      </c>
    </row>
    <row r="17" spans="2:7" ht="15.5" customHeight="1" x14ac:dyDescent="0.3">
      <c r="B17" s="552"/>
      <c r="C17" s="301" t="s">
        <v>235</v>
      </c>
      <c r="D17" s="550"/>
      <c r="E17" s="552"/>
      <c r="F17" s="652"/>
    </row>
    <row r="18" spans="2:7" x14ac:dyDescent="0.3">
      <c r="B18" s="145" t="s">
        <v>38</v>
      </c>
      <c r="C18" s="151"/>
      <c r="D18" s="298"/>
      <c r="E18" s="145"/>
      <c r="F18" s="299">
        <f>SUM(F14:F16)</f>
        <v>104471.34818540941</v>
      </c>
    </row>
    <row r="19" spans="2:7" ht="39" customHeight="1" x14ac:dyDescent="0.3">
      <c r="B19" s="542" t="s">
        <v>262</v>
      </c>
      <c r="C19" s="490" t="s">
        <v>192</v>
      </c>
      <c r="D19" s="540" t="s">
        <v>3</v>
      </c>
      <c r="E19" s="133" t="s">
        <v>32</v>
      </c>
      <c r="F19" s="148">
        <v>456976.95</v>
      </c>
    </row>
    <row r="20" spans="2:7" ht="48" x14ac:dyDescent="0.3">
      <c r="B20" s="543"/>
      <c r="C20" s="131" t="s">
        <v>190</v>
      </c>
      <c r="D20" s="540"/>
      <c r="E20" s="133" t="s">
        <v>36</v>
      </c>
      <c r="F20" s="148">
        <v>46000</v>
      </c>
    </row>
    <row r="21" spans="2:7" ht="48" x14ac:dyDescent="0.3">
      <c r="B21" s="543"/>
      <c r="C21" s="131" t="s">
        <v>191</v>
      </c>
      <c r="D21" s="540"/>
      <c r="E21" s="545" t="s">
        <v>37</v>
      </c>
      <c r="F21" s="631">
        <v>77882</v>
      </c>
    </row>
    <row r="22" spans="2:7" ht="72" x14ac:dyDescent="0.3">
      <c r="B22" s="543"/>
      <c r="C22" s="131" t="s">
        <v>193</v>
      </c>
      <c r="D22" s="540"/>
      <c r="E22" s="547"/>
      <c r="F22" s="633"/>
    </row>
    <row r="23" spans="2:7" x14ac:dyDescent="0.3">
      <c r="B23" s="145" t="s">
        <v>38</v>
      </c>
      <c r="C23" s="151"/>
      <c r="D23" s="298"/>
      <c r="E23" s="145"/>
      <c r="F23" s="299">
        <f>SUM(F19:F22)</f>
        <v>580858.94999999995</v>
      </c>
    </row>
    <row r="24" spans="2:7" x14ac:dyDescent="0.3">
      <c r="B24" s="145" t="s">
        <v>75</v>
      </c>
      <c r="C24" s="151"/>
      <c r="D24" s="298"/>
      <c r="E24" s="145"/>
      <c r="F24" s="299">
        <f>F18+F23</f>
        <v>685330.2981854094</v>
      </c>
    </row>
    <row r="25" spans="2:7" x14ac:dyDescent="0.3">
      <c r="B25" s="195" t="s">
        <v>26</v>
      </c>
      <c r="C25" s="188"/>
      <c r="D25" s="188"/>
      <c r="E25" s="188"/>
      <c r="F25" s="190">
        <f>F10+F24</f>
        <v>789801.64637081884</v>
      </c>
      <c r="G25" s="191"/>
    </row>
    <row r="26" spans="2:7" x14ac:dyDescent="0.3">
      <c r="B26" s="192" t="s">
        <v>67</v>
      </c>
      <c r="C26" s="192"/>
      <c r="D26" s="192"/>
      <c r="E26" s="192"/>
      <c r="F26" s="194">
        <f>0.07*F25</f>
        <v>55286.11524595732</v>
      </c>
      <c r="G26" s="191"/>
    </row>
    <row r="27" spans="2:7" x14ac:dyDescent="0.3">
      <c r="B27" s="195" t="s">
        <v>68</v>
      </c>
      <c r="C27" s="188"/>
      <c r="D27" s="188"/>
      <c r="E27" s="188"/>
      <c r="F27" s="190">
        <f>SUM(F25:F26)</f>
        <v>845087.76161677612</v>
      </c>
      <c r="G27" s="191"/>
    </row>
    <row r="29" spans="2:7" x14ac:dyDescent="0.3">
      <c r="B29" s="196" t="s">
        <v>69</v>
      </c>
      <c r="C29" s="196" t="s">
        <v>2</v>
      </c>
      <c r="D29" s="196" t="s">
        <v>3</v>
      </c>
      <c r="E29" s="196" t="s">
        <v>4</v>
      </c>
      <c r="F29" s="196" t="s">
        <v>111</v>
      </c>
    </row>
    <row r="30" spans="2:7" x14ac:dyDescent="0.3">
      <c r="B30" s="141" t="s">
        <v>32</v>
      </c>
      <c r="C30" s="198">
        <f>F7+F14</f>
        <v>178898.74697241787</v>
      </c>
      <c r="D30" s="199">
        <f>F19</f>
        <v>456976.95</v>
      </c>
      <c r="E30" s="233"/>
      <c r="F30" s="201">
        <f t="shared" ref="F30:F35" si="0">SUM(C30:E30)</f>
        <v>635875.69697241788</v>
      </c>
    </row>
    <row r="31" spans="2:7" x14ac:dyDescent="0.3">
      <c r="B31" s="141" t="s">
        <v>36</v>
      </c>
      <c r="C31" s="198">
        <f>F8+F15</f>
        <v>26753.785380749341</v>
      </c>
      <c r="D31" s="199">
        <f>F20</f>
        <v>46000</v>
      </c>
      <c r="E31" s="233"/>
      <c r="F31" s="201">
        <f t="shared" si="0"/>
        <v>72753.785380749337</v>
      </c>
    </row>
    <row r="32" spans="2:7" x14ac:dyDescent="0.3">
      <c r="B32" s="142" t="s">
        <v>37</v>
      </c>
      <c r="C32" s="198">
        <f>F9+F16</f>
        <v>3290.1640176516016</v>
      </c>
      <c r="D32" s="199">
        <f>F21</f>
        <v>77882</v>
      </c>
      <c r="E32" s="233"/>
      <c r="F32" s="201">
        <f t="shared" si="0"/>
        <v>81172.164017651608</v>
      </c>
    </row>
    <row r="33" spans="2:7" x14ac:dyDescent="0.3">
      <c r="B33" s="202" t="s">
        <v>26</v>
      </c>
      <c r="C33" s="203">
        <f>SUM(C30:C32)</f>
        <v>208942.69637081883</v>
      </c>
      <c r="D33" s="234">
        <f>SUM(D30:D32)</f>
        <v>580858.94999999995</v>
      </c>
      <c r="E33" s="203"/>
      <c r="F33" s="203">
        <f t="shared" si="0"/>
        <v>789801.64637081884</v>
      </c>
      <c r="G33" s="249">
        <f>C56+C67</f>
        <v>789801.64637081884</v>
      </c>
    </row>
    <row r="34" spans="2:7" x14ac:dyDescent="0.3">
      <c r="B34" s="192" t="s">
        <v>269</v>
      </c>
      <c r="C34" s="198">
        <f>0.07*C33</f>
        <v>14625.98874595732</v>
      </c>
      <c r="D34" s="199">
        <f>0.07*D33</f>
        <v>40660.126499999998</v>
      </c>
      <c r="E34" s="233"/>
      <c r="F34" s="201">
        <f t="shared" si="0"/>
        <v>55286.11524595732</v>
      </c>
    </row>
    <row r="35" spans="2:7" x14ac:dyDescent="0.3">
      <c r="B35" s="211" t="s">
        <v>1</v>
      </c>
      <c r="C35" s="276">
        <f>SUM(C33:C34)</f>
        <v>223568.68511677615</v>
      </c>
      <c r="D35" s="461">
        <f>SUM(D33:D34)</f>
        <v>621519.07649999997</v>
      </c>
      <c r="E35" s="476"/>
      <c r="F35" s="212">
        <f t="shared" si="0"/>
        <v>845087.76161677612</v>
      </c>
    </row>
    <row r="37" spans="2:7" ht="45.75" customHeight="1" thickBot="1" x14ac:dyDescent="0.35">
      <c r="B37" s="214" t="s">
        <v>186</v>
      </c>
      <c r="C37" s="253">
        <f>'2019 Comparison'!F20</f>
        <v>208943</v>
      </c>
      <c r="D37" s="253">
        <f>'2019 Comparison'!G20</f>
        <v>518240</v>
      </c>
      <c r="E37" s="253">
        <f>'2019 Comparison'!H20</f>
        <v>0</v>
      </c>
      <c r="F37" s="253">
        <f>'2019 Comparison'!I20</f>
        <v>727183</v>
      </c>
    </row>
    <row r="38" spans="2:7" hidden="1" x14ac:dyDescent="0.3">
      <c r="B38" s="227" t="s">
        <v>71</v>
      </c>
    </row>
    <row r="39" spans="2:7" hidden="1" x14ac:dyDescent="0.3">
      <c r="B39" s="196" t="s">
        <v>69</v>
      </c>
      <c r="C39" s="196" t="s">
        <v>2</v>
      </c>
      <c r="D39" s="196" t="s">
        <v>3</v>
      </c>
      <c r="E39" s="196" t="s">
        <v>1</v>
      </c>
    </row>
    <row r="40" spans="2:7" hidden="1" x14ac:dyDescent="0.3">
      <c r="B40" s="141" t="s">
        <v>32</v>
      </c>
      <c r="C40" s="201">
        <f>F14</f>
        <v>89449.373486208933</v>
      </c>
      <c r="D40" s="194">
        <f>D30</f>
        <v>456976.95</v>
      </c>
      <c r="E40" s="201">
        <f>C40+D40</f>
        <v>546426.32348620892</v>
      </c>
    </row>
    <row r="41" spans="2:7" hidden="1" x14ac:dyDescent="0.3">
      <c r="B41" s="141" t="s">
        <v>36</v>
      </c>
      <c r="C41" s="201">
        <f>F15</f>
        <v>13376.892690374671</v>
      </c>
      <c r="D41" s="194">
        <f>D31</f>
        <v>46000</v>
      </c>
      <c r="E41" s="201">
        <f>C41+D41</f>
        <v>59376.892690374669</v>
      </c>
    </row>
    <row r="42" spans="2:7" hidden="1" x14ac:dyDescent="0.3">
      <c r="B42" s="142" t="s">
        <v>37</v>
      </c>
      <c r="C42" s="201">
        <f>F16</f>
        <v>1645.0820088258008</v>
      </c>
      <c r="D42" s="194">
        <f>F21</f>
        <v>77882</v>
      </c>
      <c r="E42" s="201">
        <f>C42+D42</f>
        <v>79527.082008825804</v>
      </c>
    </row>
    <row r="43" spans="2:7" hidden="1" x14ac:dyDescent="0.3">
      <c r="B43" s="192" t="s">
        <v>26</v>
      </c>
      <c r="C43" s="201">
        <f>SUM(C40:C42)</f>
        <v>104471.34818540941</v>
      </c>
      <c r="D43" s="201">
        <f>SUM(D40:D42)</f>
        <v>580858.94999999995</v>
      </c>
      <c r="E43" s="201">
        <f>C43+D43</f>
        <v>685330.2981854094</v>
      </c>
    </row>
    <row r="44" spans="2:7" hidden="1" x14ac:dyDescent="0.3">
      <c r="B44" s="192" t="s">
        <v>70</v>
      </c>
      <c r="C44" s="194">
        <f>0.07*C43</f>
        <v>7312.9943729786601</v>
      </c>
      <c r="D44" s="194">
        <f>0.07*D43</f>
        <v>40660.126499999998</v>
      </c>
      <c r="E44" s="194">
        <f>0.07*E43</f>
        <v>47973.120872978659</v>
      </c>
    </row>
    <row r="45" spans="2:7" hidden="1" x14ac:dyDescent="0.3">
      <c r="B45" s="196" t="s">
        <v>1</v>
      </c>
      <c r="C45" s="300">
        <f>SUM(C43:C44)</f>
        <v>111784.34255838807</v>
      </c>
      <c r="D45" s="300">
        <f>SUM(D43:D44)</f>
        <v>621519.07649999997</v>
      </c>
      <c r="E45" s="300">
        <f>SUM(E43:E44)</f>
        <v>733303.4190583881</v>
      </c>
    </row>
    <row r="46" spans="2:7" ht="12.5" thickTop="1" x14ac:dyDescent="0.3"/>
    <row r="47" spans="2:7" x14ac:dyDescent="0.3">
      <c r="B47" s="559" t="s">
        <v>57</v>
      </c>
      <c r="C47" s="560"/>
      <c r="D47" s="560"/>
      <c r="E47" s="560"/>
      <c r="F47" s="561"/>
    </row>
    <row r="48" spans="2:7" x14ac:dyDescent="0.3">
      <c r="B48" s="217" t="s">
        <v>31</v>
      </c>
      <c r="C48" s="218" t="s">
        <v>100</v>
      </c>
      <c r="D48" s="219" t="s">
        <v>2</v>
      </c>
      <c r="E48" s="238" t="s">
        <v>3</v>
      </c>
      <c r="F48" s="219" t="s">
        <v>4</v>
      </c>
    </row>
    <row r="49" spans="2:6" x14ac:dyDescent="0.3">
      <c r="B49" s="192" t="s">
        <v>32</v>
      </c>
      <c r="C49" s="221">
        <f>D49+E49+F49</f>
        <v>89449.373486208933</v>
      </c>
      <c r="D49" s="198">
        <f>F7</f>
        <v>89449.373486208933</v>
      </c>
      <c r="E49" s="199"/>
      <c r="F49" s="233"/>
    </row>
    <row r="50" spans="2:6" x14ac:dyDescent="0.3">
      <c r="B50" s="192" t="s">
        <v>33</v>
      </c>
      <c r="C50" s="221">
        <f t="shared" ref="C50:C55" si="1">D50+E50+F50</f>
        <v>0</v>
      </c>
      <c r="D50" s="198"/>
      <c r="E50" s="199"/>
      <c r="F50" s="233"/>
    </row>
    <row r="51" spans="2:6" x14ac:dyDescent="0.3">
      <c r="B51" s="193" t="s">
        <v>34</v>
      </c>
      <c r="C51" s="221">
        <f t="shared" si="1"/>
        <v>0</v>
      </c>
      <c r="D51" s="198"/>
      <c r="E51" s="199"/>
      <c r="F51" s="233"/>
    </row>
    <row r="52" spans="2:6" x14ac:dyDescent="0.3">
      <c r="B52" s="192" t="s">
        <v>35</v>
      </c>
      <c r="C52" s="221">
        <f t="shared" si="1"/>
        <v>0</v>
      </c>
      <c r="D52" s="198"/>
      <c r="E52" s="199"/>
      <c r="F52" s="233"/>
    </row>
    <row r="53" spans="2:6" x14ac:dyDescent="0.3">
      <c r="B53" s="192" t="s">
        <v>36</v>
      </c>
      <c r="C53" s="221">
        <f t="shared" si="1"/>
        <v>13376.892690374671</v>
      </c>
      <c r="D53" s="198">
        <f>F8</f>
        <v>13376.892690374671</v>
      </c>
      <c r="E53" s="199"/>
      <c r="F53" s="233"/>
    </row>
    <row r="54" spans="2:6" x14ac:dyDescent="0.3">
      <c r="B54" s="193" t="s">
        <v>53</v>
      </c>
      <c r="C54" s="221">
        <f t="shared" si="1"/>
        <v>0</v>
      </c>
      <c r="D54" s="198"/>
      <c r="E54" s="199"/>
      <c r="F54" s="233"/>
    </row>
    <row r="55" spans="2:6" x14ac:dyDescent="0.3">
      <c r="B55" s="193" t="s">
        <v>37</v>
      </c>
      <c r="C55" s="221">
        <f t="shared" si="1"/>
        <v>1645.0820088258008</v>
      </c>
      <c r="D55" s="198">
        <f>F9</f>
        <v>1645.0820088258008</v>
      </c>
      <c r="E55" s="199"/>
      <c r="F55" s="233"/>
    </row>
    <row r="56" spans="2:6" x14ac:dyDescent="0.3">
      <c r="B56" s="140" t="s">
        <v>38</v>
      </c>
      <c r="C56" s="225">
        <f>SUM(C49:C55)</f>
        <v>104471.34818540941</v>
      </c>
      <c r="D56" s="225">
        <f>SUM(D49:D55)</f>
        <v>104471.34818540941</v>
      </c>
      <c r="E56" s="225">
        <f>SUM(E49:E55)</f>
        <v>0</v>
      </c>
      <c r="F56" s="225">
        <f>SUM(F49:F55)</f>
        <v>0</v>
      </c>
    </row>
    <row r="58" spans="2:6" ht="34.5" customHeight="1" x14ac:dyDescent="0.3">
      <c r="B58" s="559" t="s">
        <v>63</v>
      </c>
      <c r="C58" s="560"/>
      <c r="D58" s="560"/>
      <c r="E58" s="560"/>
      <c r="F58" s="561"/>
    </row>
    <row r="59" spans="2:6" x14ac:dyDescent="0.3">
      <c r="B59" s="217" t="s">
        <v>31</v>
      </c>
      <c r="C59" s="218" t="s">
        <v>100</v>
      </c>
      <c r="D59" s="219" t="s">
        <v>2</v>
      </c>
      <c r="E59" s="238" t="s">
        <v>3</v>
      </c>
      <c r="F59" s="219" t="s">
        <v>4</v>
      </c>
    </row>
    <row r="60" spans="2:6" x14ac:dyDescent="0.3">
      <c r="B60" s="192" t="s">
        <v>32</v>
      </c>
      <c r="C60" s="221">
        <f>D60+E60+F60</f>
        <v>546426.32348620892</v>
      </c>
      <c r="D60" s="198">
        <f>F14</f>
        <v>89449.373486208933</v>
      </c>
      <c r="E60" s="199">
        <f>D30</f>
        <v>456976.95</v>
      </c>
      <c r="F60" s="233"/>
    </row>
    <row r="61" spans="2:6" x14ac:dyDescent="0.3">
      <c r="B61" s="192" t="s">
        <v>33</v>
      </c>
      <c r="C61" s="221">
        <f t="shared" ref="C61:C66" si="2">D61+E61+F61</f>
        <v>0</v>
      </c>
      <c r="D61" s="198"/>
      <c r="E61" s="199"/>
      <c r="F61" s="233"/>
    </row>
    <row r="62" spans="2:6" x14ac:dyDescent="0.3">
      <c r="B62" s="193" t="s">
        <v>34</v>
      </c>
      <c r="C62" s="221">
        <f t="shared" si="2"/>
        <v>0</v>
      </c>
      <c r="D62" s="198"/>
      <c r="E62" s="199"/>
      <c r="F62" s="233"/>
    </row>
    <row r="63" spans="2:6" x14ac:dyDescent="0.3">
      <c r="B63" s="192" t="s">
        <v>35</v>
      </c>
      <c r="C63" s="221">
        <f t="shared" si="2"/>
        <v>0</v>
      </c>
      <c r="D63" s="198"/>
      <c r="E63" s="199"/>
      <c r="F63" s="233"/>
    </row>
    <row r="64" spans="2:6" x14ac:dyDescent="0.3">
      <c r="B64" s="192" t="s">
        <v>36</v>
      </c>
      <c r="C64" s="221">
        <f t="shared" si="2"/>
        <v>59376.892690374669</v>
      </c>
      <c r="D64" s="198">
        <f>F15</f>
        <v>13376.892690374671</v>
      </c>
      <c r="E64" s="199">
        <f>D31</f>
        <v>46000</v>
      </c>
      <c r="F64" s="233"/>
    </row>
    <row r="65" spans="2:6" x14ac:dyDescent="0.3">
      <c r="B65" s="193" t="s">
        <v>53</v>
      </c>
      <c r="C65" s="221">
        <f t="shared" si="2"/>
        <v>0</v>
      </c>
      <c r="D65" s="198"/>
      <c r="E65" s="199"/>
      <c r="F65" s="233"/>
    </row>
    <row r="66" spans="2:6" x14ac:dyDescent="0.3">
      <c r="B66" s="193" t="s">
        <v>37</v>
      </c>
      <c r="C66" s="221">
        <f t="shared" si="2"/>
        <v>79527.082008825804</v>
      </c>
      <c r="D66" s="198">
        <f>F16</f>
        <v>1645.0820088258008</v>
      </c>
      <c r="E66" s="199">
        <f>D32</f>
        <v>77882</v>
      </c>
      <c r="F66" s="233"/>
    </row>
    <row r="67" spans="2:6" x14ac:dyDescent="0.3">
      <c r="B67" s="140" t="s">
        <v>38</v>
      </c>
      <c r="C67" s="225">
        <f>SUM(C60:C66)</f>
        <v>685330.2981854094</v>
      </c>
      <c r="D67" s="225">
        <f>SUM(D60:D66)</f>
        <v>104471.34818540941</v>
      </c>
      <c r="E67" s="225">
        <f>SUM(E60:E66)</f>
        <v>580858.94999999995</v>
      </c>
      <c r="F67" s="225">
        <f>SUM(F60:F66)</f>
        <v>0</v>
      </c>
    </row>
  </sheetData>
  <mergeCells count="23">
    <mergeCell ref="B4:F4"/>
    <mergeCell ref="B5:B6"/>
    <mergeCell ref="C5:C6"/>
    <mergeCell ref="D5:D6"/>
    <mergeCell ref="E5:F5"/>
    <mergeCell ref="B7:B9"/>
    <mergeCell ref="D7:D9"/>
    <mergeCell ref="B11:F11"/>
    <mergeCell ref="E16:E17"/>
    <mergeCell ref="F16:F17"/>
    <mergeCell ref="D14:D17"/>
    <mergeCell ref="B12:B13"/>
    <mergeCell ref="C7:C9"/>
    <mergeCell ref="B14:B17"/>
    <mergeCell ref="C12:C13"/>
    <mergeCell ref="D12:D13"/>
    <mergeCell ref="E12:F12"/>
    <mergeCell ref="B58:F58"/>
    <mergeCell ref="B47:F47"/>
    <mergeCell ref="D19:D22"/>
    <mergeCell ref="B19:B22"/>
    <mergeCell ref="E21:E22"/>
    <mergeCell ref="F21:F22"/>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51"/>
  <sheetViews>
    <sheetView showGridLines="0" topLeftCell="A22" zoomScale="80" zoomScaleNormal="80" workbookViewId="0">
      <selection activeCell="A4" sqref="A4"/>
    </sheetView>
  </sheetViews>
  <sheetFormatPr defaultColWidth="9.1796875" defaultRowHeight="12" x14ac:dyDescent="0.3"/>
  <cols>
    <col min="1" max="1" width="1.7265625" style="178" customWidth="1"/>
    <col min="2" max="2" width="45.26953125" style="207" customWidth="1"/>
    <col min="3" max="3" width="56.54296875" style="207" customWidth="1"/>
    <col min="4" max="4" width="10.54296875" style="207" customWidth="1"/>
    <col min="5" max="5" width="26.81640625" style="207" customWidth="1"/>
    <col min="6" max="6" width="14.1796875" style="207" customWidth="1"/>
    <col min="7" max="7" width="18.26953125" style="207" customWidth="1"/>
    <col min="8" max="16384" width="9.1796875" style="178"/>
  </cols>
  <sheetData>
    <row r="3" spans="2:7" x14ac:dyDescent="0.3">
      <c r="B3" s="137" t="s">
        <v>91</v>
      </c>
      <c r="C3" s="137"/>
      <c r="D3" s="137"/>
      <c r="E3" s="137"/>
      <c r="F3" s="138"/>
    </row>
    <row r="4" spans="2:7" ht="28.5" customHeight="1" x14ac:dyDescent="0.3">
      <c r="B4" s="559" t="s">
        <v>57</v>
      </c>
      <c r="C4" s="560"/>
      <c r="D4" s="560"/>
      <c r="E4" s="560"/>
      <c r="F4" s="561"/>
    </row>
    <row r="5" spans="2:7" ht="17.25" customHeight="1" x14ac:dyDescent="0.3">
      <c r="B5" s="562" t="s">
        <v>58</v>
      </c>
      <c r="C5" s="564" t="s">
        <v>59</v>
      </c>
      <c r="D5" s="566" t="s">
        <v>60</v>
      </c>
      <c r="E5" s="640" t="s">
        <v>61</v>
      </c>
      <c r="F5" s="641"/>
    </row>
    <row r="6" spans="2:7" x14ac:dyDescent="0.3">
      <c r="B6" s="563"/>
      <c r="C6" s="565"/>
      <c r="D6" s="566"/>
      <c r="E6" s="165" t="s">
        <v>31</v>
      </c>
      <c r="F6" s="165" t="s">
        <v>62</v>
      </c>
    </row>
    <row r="7" spans="2:7" x14ac:dyDescent="0.3">
      <c r="B7" s="551" t="s">
        <v>151</v>
      </c>
      <c r="C7" s="119" t="s">
        <v>140</v>
      </c>
      <c r="D7" s="549" t="s">
        <v>2</v>
      </c>
      <c r="E7" s="143" t="s">
        <v>32</v>
      </c>
      <c r="F7" s="179">
        <v>271274.4286570861</v>
      </c>
    </row>
    <row r="8" spans="2:7" x14ac:dyDescent="0.3">
      <c r="B8" s="615"/>
      <c r="C8" s="176" t="s">
        <v>141</v>
      </c>
      <c r="D8" s="549"/>
      <c r="E8" s="143" t="s">
        <v>36</v>
      </c>
      <c r="F8" s="179">
        <v>8380.8199986697764</v>
      </c>
    </row>
    <row r="9" spans="2:7" ht="24" x14ac:dyDescent="0.3">
      <c r="B9" s="552"/>
      <c r="C9" s="176" t="s">
        <v>142</v>
      </c>
      <c r="D9" s="550"/>
      <c r="E9" s="176" t="s">
        <v>37</v>
      </c>
      <c r="F9" s="179">
        <v>2512.6498567677518</v>
      </c>
    </row>
    <row r="10" spans="2:7" x14ac:dyDescent="0.3">
      <c r="B10" s="145" t="s">
        <v>38</v>
      </c>
      <c r="C10" s="151"/>
      <c r="D10" s="298"/>
      <c r="E10" s="145"/>
      <c r="F10" s="299">
        <f>SUM(F7:F9)</f>
        <v>282167.89851252362</v>
      </c>
    </row>
    <row r="11" spans="2:7" ht="40.5" customHeight="1" x14ac:dyDescent="0.3">
      <c r="B11" s="537" t="s">
        <v>152</v>
      </c>
      <c r="C11" s="176" t="s">
        <v>143</v>
      </c>
      <c r="D11" s="549" t="s">
        <v>2</v>
      </c>
      <c r="E11" s="143" t="s">
        <v>32</v>
      </c>
      <c r="F11" s="179">
        <v>30141.603184120679</v>
      </c>
    </row>
    <row r="12" spans="2:7" ht="125" customHeight="1" x14ac:dyDescent="0.3">
      <c r="B12" s="538"/>
      <c r="C12" s="176" t="s">
        <v>194</v>
      </c>
      <c r="D12" s="549"/>
      <c r="E12" s="143" t="s">
        <v>36</v>
      </c>
      <c r="F12" s="179">
        <v>8380.8199986697764</v>
      </c>
    </row>
    <row r="13" spans="2:7" ht="24" x14ac:dyDescent="0.3">
      <c r="B13" s="539"/>
      <c r="C13" s="176" t="s">
        <v>144</v>
      </c>
      <c r="D13" s="550"/>
      <c r="E13" s="176" t="s">
        <v>37</v>
      </c>
      <c r="F13" s="179">
        <v>2512.6498567677518</v>
      </c>
    </row>
    <row r="14" spans="2:7" x14ac:dyDescent="0.3">
      <c r="B14" s="145" t="s">
        <v>38</v>
      </c>
      <c r="C14" s="151"/>
      <c r="D14" s="298"/>
      <c r="E14" s="145"/>
      <c r="F14" s="299">
        <f>SUM(F11:F13)</f>
        <v>41035.073039558207</v>
      </c>
    </row>
    <row r="15" spans="2:7" x14ac:dyDescent="0.3">
      <c r="B15" s="145" t="s">
        <v>75</v>
      </c>
      <c r="C15" s="151"/>
      <c r="D15" s="298"/>
      <c r="E15" s="145"/>
      <c r="F15" s="299">
        <f>F14+F10</f>
        <v>323202.97155208181</v>
      </c>
    </row>
    <row r="16" spans="2:7" x14ac:dyDescent="0.3">
      <c r="B16" s="195" t="s">
        <v>26</v>
      </c>
      <c r="C16" s="188"/>
      <c r="D16" s="188"/>
      <c r="E16" s="188"/>
      <c r="F16" s="190">
        <f>F15+F5</f>
        <v>323202.97155208181</v>
      </c>
      <c r="G16" s="259"/>
    </row>
    <row r="17" spans="2:7" x14ac:dyDescent="0.3">
      <c r="B17" s="192" t="s">
        <v>67</v>
      </c>
      <c r="C17" s="192"/>
      <c r="D17" s="192"/>
      <c r="E17" s="192"/>
      <c r="F17" s="194">
        <f>0.07*F16</f>
        <v>22624.208008645728</v>
      </c>
      <c r="G17" s="259"/>
    </row>
    <row r="18" spans="2:7" x14ac:dyDescent="0.3">
      <c r="B18" s="195" t="s">
        <v>68</v>
      </c>
      <c r="C18" s="188"/>
      <c r="D18" s="188"/>
      <c r="E18" s="188"/>
      <c r="F18" s="256">
        <f>SUM(F16:F17)</f>
        <v>345827.17956072756</v>
      </c>
      <c r="G18" s="259"/>
    </row>
    <row r="21" spans="2:7" x14ac:dyDescent="0.3">
      <c r="B21" s="196" t="s">
        <v>69</v>
      </c>
      <c r="C21" s="196" t="s">
        <v>2</v>
      </c>
      <c r="D21" s="196" t="s">
        <v>3</v>
      </c>
      <c r="E21" s="196" t="s">
        <v>4</v>
      </c>
      <c r="F21" s="196" t="s">
        <v>111</v>
      </c>
    </row>
    <row r="22" spans="2:7" x14ac:dyDescent="0.3">
      <c r="B22" s="141" t="s">
        <v>32</v>
      </c>
      <c r="C22" s="198">
        <f>F7+F11</f>
        <v>301416.03184120677</v>
      </c>
      <c r="D22" s="199"/>
      <c r="E22" s="233"/>
      <c r="F22" s="201"/>
    </row>
    <row r="23" spans="2:7" x14ac:dyDescent="0.3">
      <c r="B23" s="141" t="s">
        <v>36</v>
      </c>
      <c r="C23" s="198">
        <f>F8+F12</f>
        <v>16761.639997339553</v>
      </c>
      <c r="D23" s="199"/>
      <c r="E23" s="233"/>
      <c r="F23" s="201"/>
    </row>
    <row r="24" spans="2:7" x14ac:dyDescent="0.3">
      <c r="B24" s="142" t="s">
        <v>37</v>
      </c>
      <c r="C24" s="198">
        <f>F9+F13</f>
        <v>5025.2997135355035</v>
      </c>
      <c r="D24" s="199"/>
      <c r="E24" s="233"/>
      <c r="F24" s="201"/>
    </row>
    <row r="25" spans="2:7" x14ac:dyDescent="0.3">
      <c r="B25" s="202" t="s">
        <v>26</v>
      </c>
      <c r="C25" s="203">
        <f>SUM(C22:C24)</f>
        <v>323202.97155208187</v>
      </c>
      <c r="D25" s="234"/>
      <c r="E25" s="203"/>
      <c r="F25" s="203"/>
      <c r="G25" s="261">
        <f>C40+C51</f>
        <v>323202.97155208187</v>
      </c>
    </row>
    <row r="26" spans="2:7" x14ac:dyDescent="0.3">
      <c r="B26" s="192" t="s">
        <v>269</v>
      </c>
      <c r="C26" s="198">
        <f>0.07*C25</f>
        <v>22624.208008645732</v>
      </c>
      <c r="D26" s="271"/>
      <c r="E26" s="224"/>
      <c r="F26" s="205"/>
    </row>
    <row r="27" spans="2:7" x14ac:dyDescent="0.3">
      <c r="B27" s="211" t="s">
        <v>1</v>
      </c>
      <c r="C27" s="276">
        <f>SUM(C25:C26)</f>
        <v>345827.17956072761</v>
      </c>
      <c r="D27" s="461"/>
      <c r="E27" s="476"/>
      <c r="F27" s="212"/>
    </row>
    <row r="29" spans="2:7" ht="12.5" thickBot="1" x14ac:dyDescent="0.35">
      <c r="B29" s="214" t="s">
        <v>186</v>
      </c>
      <c r="C29" s="253">
        <f>'2019 Comparison'!F21</f>
        <v>323203</v>
      </c>
      <c r="D29" s="253">
        <f>'2019 Comparison'!G21</f>
        <v>0</v>
      </c>
      <c r="E29" s="253">
        <f>'2019 Comparison'!H21</f>
        <v>0</v>
      </c>
      <c r="F29" s="253">
        <f>'2019 Comparison'!I21</f>
        <v>323203</v>
      </c>
    </row>
    <row r="30" spans="2:7" ht="12.5" thickTop="1" x14ac:dyDescent="0.3"/>
    <row r="31" spans="2:7" x14ac:dyDescent="0.3">
      <c r="B31" s="559" t="s">
        <v>57</v>
      </c>
      <c r="C31" s="560"/>
      <c r="D31" s="560"/>
      <c r="E31" s="560"/>
      <c r="F31" s="561"/>
    </row>
    <row r="32" spans="2:7" x14ac:dyDescent="0.3">
      <c r="B32" s="217" t="s">
        <v>31</v>
      </c>
      <c r="C32" s="218" t="s">
        <v>100</v>
      </c>
      <c r="D32" s="219" t="s">
        <v>2</v>
      </c>
      <c r="E32" s="238" t="s">
        <v>3</v>
      </c>
      <c r="F32" s="219" t="s">
        <v>4</v>
      </c>
    </row>
    <row r="33" spans="2:6" x14ac:dyDescent="0.3">
      <c r="B33" s="192" t="s">
        <v>32</v>
      </c>
      <c r="C33" s="221">
        <f>D33+E33+F33</f>
        <v>301416.03184120677</v>
      </c>
      <c r="D33" s="198">
        <f>C22</f>
        <v>301416.03184120677</v>
      </c>
      <c r="E33" s="271"/>
      <c r="F33" s="224"/>
    </row>
    <row r="34" spans="2:6" x14ac:dyDescent="0.3">
      <c r="B34" s="192" t="s">
        <v>33</v>
      </c>
      <c r="C34" s="221">
        <f t="shared" ref="C34:C39" si="0">D34+E34+F34</f>
        <v>0</v>
      </c>
      <c r="D34" s="198"/>
      <c r="E34" s="271"/>
      <c r="F34" s="224"/>
    </row>
    <row r="35" spans="2:6" x14ac:dyDescent="0.3">
      <c r="B35" s="193" t="s">
        <v>34</v>
      </c>
      <c r="C35" s="221">
        <f t="shared" si="0"/>
        <v>0</v>
      </c>
      <c r="D35" s="198"/>
      <c r="E35" s="271"/>
      <c r="F35" s="224"/>
    </row>
    <row r="36" spans="2:6" x14ac:dyDescent="0.3">
      <c r="B36" s="192" t="s">
        <v>35</v>
      </c>
      <c r="C36" s="221">
        <f t="shared" si="0"/>
        <v>0</v>
      </c>
      <c r="D36" s="198"/>
      <c r="E36" s="271"/>
      <c r="F36" s="224"/>
    </row>
    <row r="37" spans="2:6" x14ac:dyDescent="0.3">
      <c r="B37" s="192" t="s">
        <v>36</v>
      </c>
      <c r="C37" s="221">
        <f t="shared" si="0"/>
        <v>16761.639997339553</v>
      </c>
      <c r="D37" s="198">
        <f>C23</f>
        <v>16761.639997339553</v>
      </c>
      <c r="E37" s="271"/>
      <c r="F37" s="224"/>
    </row>
    <row r="38" spans="2:6" x14ac:dyDescent="0.3">
      <c r="B38" s="193" t="s">
        <v>53</v>
      </c>
      <c r="C38" s="221">
        <f t="shared" si="0"/>
        <v>0</v>
      </c>
      <c r="D38" s="198"/>
      <c r="E38" s="271"/>
      <c r="F38" s="224"/>
    </row>
    <row r="39" spans="2:6" x14ac:dyDescent="0.3">
      <c r="B39" s="193" t="s">
        <v>37</v>
      </c>
      <c r="C39" s="221">
        <f t="shared" si="0"/>
        <v>5025.2997135355035</v>
      </c>
      <c r="D39" s="198">
        <f>C24</f>
        <v>5025.2997135355035</v>
      </c>
      <c r="E39" s="271"/>
      <c r="F39" s="224"/>
    </row>
    <row r="40" spans="2:6" x14ac:dyDescent="0.3">
      <c r="B40" s="140" t="s">
        <v>38</v>
      </c>
      <c r="C40" s="225">
        <f>SUM(C33:C39)</f>
        <v>323202.97155208187</v>
      </c>
      <c r="D40" s="225">
        <f>SUM(D33:D39)</f>
        <v>323202.97155208187</v>
      </c>
      <c r="E40" s="225">
        <f>SUM(E33:E39)</f>
        <v>0</v>
      </c>
      <c r="F40" s="225">
        <f>SUM(F33:F39)</f>
        <v>0</v>
      </c>
    </row>
    <row r="42" spans="2:6" ht="37.5" customHeight="1" x14ac:dyDescent="0.3">
      <c r="B42" s="559" t="s">
        <v>63</v>
      </c>
      <c r="C42" s="560"/>
      <c r="D42" s="560"/>
      <c r="E42" s="560"/>
      <c r="F42" s="561"/>
    </row>
    <row r="43" spans="2:6" x14ac:dyDescent="0.3">
      <c r="B43" s="217" t="s">
        <v>31</v>
      </c>
      <c r="C43" s="218" t="s">
        <v>100</v>
      </c>
      <c r="D43" s="219" t="s">
        <v>2</v>
      </c>
      <c r="E43" s="238" t="s">
        <v>3</v>
      </c>
      <c r="F43" s="219" t="s">
        <v>4</v>
      </c>
    </row>
    <row r="44" spans="2:6" x14ac:dyDescent="0.3">
      <c r="B44" s="192" t="s">
        <v>32</v>
      </c>
      <c r="C44" s="221">
        <f>D44+E44+F44</f>
        <v>0</v>
      </c>
      <c r="D44" s="198"/>
      <c r="E44" s="271"/>
      <c r="F44" s="224"/>
    </row>
    <row r="45" spans="2:6" x14ac:dyDescent="0.3">
      <c r="B45" s="192" t="s">
        <v>33</v>
      </c>
      <c r="C45" s="221">
        <f t="shared" ref="C45:C50" si="1">D45+E45+F45</f>
        <v>0</v>
      </c>
      <c r="D45" s="198"/>
      <c r="E45" s="271"/>
      <c r="F45" s="224"/>
    </row>
    <row r="46" spans="2:6" x14ac:dyDescent="0.3">
      <c r="B46" s="193" t="s">
        <v>34</v>
      </c>
      <c r="C46" s="221">
        <f t="shared" si="1"/>
        <v>0</v>
      </c>
      <c r="D46" s="198"/>
      <c r="E46" s="271"/>
      <c r="F46" s="224"/>
    </row>
    <row r="47" spans="2:6" x14ac:dyDescent="0.3">
      <c r="B47" s="192" t="s">
        <v>35</v>
      </c>
      <c r="C47" s="221">
        <f t="shared" si="1"/>
        <v>0</v>
      </c>
      <c r="D47" s="198"/>
      <c r="E47" s="271"/>
      <c r="F47" s="224"/>
    </row>
    <row r="48" spans="2:6" x14ac:dyDescent="0.3">
      <c r="B48" s="192" t="s">
        <v>36</v>
      </c>
      <c r="C48" s="221">
        <f t="shared" si="1"/>
        <v>0</v>
      </c>
      <c r="D48" s="198"/>
      <c r="E48" s="271"/>
      <c r="F48" s="224"/>
    </row>
    <row r="49" spans="2:6" x14ac:dyDescent="0.3">
      <c r="B49" s="193" t="s">
        <v>53</v>
      </c>
      <c r="C49" s="221">
        <f t="shared" si="1"/>
        <v>0</v>
      </c>
      <c r="D49" s="198"/>
      <c r="E49" s="271"/>
      <c r="F49" s="224"/>
    </row>
    <row r="50" spans="2:6" x14ac:dyDescent="0.3">
      <c r="B50" s="193" t="s">
        <v>37</v>
      </c>
      <c r="C50" s="221">
        <f t="shared" si="1"/>
        <v>0</v>
      </c>
      <c r="D50" s="198"/>
      <c r="E50" s="271"/>
      <c r="F50" s="224"/>
    </row>
    <row r="51" spans="2:6" x14ac:dyDescent="0.3">
      <c r="B51" s="140" t="s">
        <v>38</v>
      </c>
      <c r="C51" s="225">
        <f>SUM(C44:C50)</f>
        <v>0</v>
      </c>
      <c r="D51" s="225">
        <f>SUM(D44:D50)</f>
        <v>0</v>
      </c>
      <c r="E51" s="225">
        <f>SUM(E44:E50)</f>
        <v>0</v>
      </c>
      <c r="F51" s="225">
        <f>SUM(F44:F50)</f>
        <v>0</v>
      </c>
    </row>
  </sheetData>
  <mergeCells count="11">
    <mergeCell ref="B4:F4"/>
    <mergeCell ref="B5:B6"/>
    <mergeCell ref="C5:C6"/>
    <mergeCell ref="D5:D6"/>
    <mergeCell ref="E5:F5"/>
    <mergeCell ref="D7:D9"/>
    <mergeCell ref="B42:F42"/>
    <mergeCell ref="B31:F31"/>
    <mergeCell ref="B11:B13"/>
    <mergeCell ref="D11:D13"/>
    <mergeCell ref="B7:B9"/>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796875" defaultRowHeight="14.5" x14ac:dyDescent="0.3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796875" defaultRowHeight="14.5" x14ac:dyDescent="0.3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F70"/>
  <sheetViews>
    <sheetView showGridLines="0" topLeftCell="A10" zoomScale="90" zoomScaleNormal="90" workbookViewId="0">
      <selection activeCell="F15" sqref="F15"/>
    </sheetView>
  </sheetViews>
  <sheetFormatPr defaultColWidth="9.1796875" defaultRowHeight="12" x14ac:dyDescent="0.3"/>
  <cols>
    <col min="1" max="1" width="1" style="178" customWidth="1"/>
    <col min="2" max="2" width="37.36328125" style="207" customWidth="1"/>
    <col min="3" max="3" width="52.1796875" style="207" customWidth="1"/>
    <col min="4" max="4" width="14" style="207" customWidth="1"/>
    <col min="5" max="5" width="28.7265625" style="207" customWidth="1"/>
    <col min="6" max="6" width="19.7265625" style="207" customWidth="1"/>
    <col min="7" max="16384" width="9.1796875" style="178"/>
  </cols>
  <sheetData>
    <row r="3" spans="2:6" x14ac:dyDescent="0.3">
      <c r="B3" s="672" t="s">
        <v>263</v>
      </c>
      <c r="C3" s="672"/>
      <c r="D3" s="672"/>
      <c r="E3" s="672"/>
      <c r="F3" s="672"/>
    </row>
    <row r="4" spans="2:6" ht="22.5" customHeight="1" x14ac:dyDescent="0.3">
      <c r="B4" s="559" t="s">
        <v>89</v>
      </c>
      <c r="C4" s="560"/>
      <c r="D4" s="560"/>
      <c r="E4" s="560"/>
      <c r="F4" s="561"/>
    </row>
    <row r="5" spans="2:6" x14ac:dyDescent="0.3">
      <c r="B5" s="562" t="s">
        <v>58</v>
      </c>
      <c r="C5" s="564" t="s">
        <v>59</v>
      </c>
      <c r="D5" s="566" t="s">
        <v>60</v>
      </c>
      <c r="E5" s="640" t="s">
        <v>61</v>
      </c>
      <c r="F5" s="641"/>
    </row>
    <row r="6" spans="2:6" x14ac:dyDescent="0.3">
      <c r="B6" s="563"/>
      <c r="C6" s="565"/>
      <c r="D6" s="566"/>
      <c r="E6" s="483" t="s">
        <v>31</v>
      </c>
      <c r="F6" s="483" t="s">
        <v>62</v>
      </c>
    </row>
    <row r="7" spans="2:6" ht="18.649999999999999" customHeight="1" x14ac:dyDescent="0.3">
      <c r="B7" s="591" t="s">
        <v>265</v>
      </c>
      <c r="C7" s="499" t="s">
        <v>230</v>
      </c>
      <c r="D7" s="549" t="s">
        <v>2</v>
      </c>
      <c r="E7" s="143" t="s">
        <v>32</v>
      </c>
      <c r="F7" s="179">
        <v>60000</v>
      </c>
    </row>
    <row r="8" spans="2:6" ht="14.15" customHeight="1" x14ac:dyDescent="0.3">
      <c r="B8" s="591"/>
      <c r="C8" s="551" t="s">
        <v>231</v>
      </c>
      <c r="D8" s="549"/>
      <c r="E8" s="143" t="s">
        <v>36</v>
      </c>
      <c r="F8" s="179">
        <v>15000</v>
      </c>
    </row>
    <row r="9" spans="2:6" ht="19.5" customHeight="1" x14ac:dyDescent="0.3">
      <c r="B9" s="591"/>
      <c r="C9" s="552"/>
      <c r="D9" s="550"/>
      <c r="E9" s="487" t="s">
        <v>37</v>
      </c>
      <c r="F9" s="179"/>
    </row>
    <row r="10" spans="2:6" x14ac:dyDescent="0.3">
      <c r="B10" s="145" t="s">
        <v>75</v>
      </c>
      <c r="C10" s="151"/>
      <c r="D10" s="298"/>
      <c r="E10" s="145"/>
      <c r="F10" s="299">
        <f>SUM(F7:F9)</f>
        <v>75000</v>
      </c>
    </row>
    <row r="11" spans="2:6" ht="28.5" customHeight="1" x14ac:dyDescent="0.3">
      <c r="B11" s="559" t="s">
        <v>63</v>
      </c>
      <c r="C11" s="560"/>
      <c r="D11" s="560"/>
      <c r="E11" s="670"/>
      <c r="F11" s="671"/>
    </row>
    <row r="12" spans="2:6" ht="17.25" customHeight="1" x14ac:dyDescent="0.3">
      <c r="B12" s="562" t="s">
        <v>58</v>
      </c>
      <c r="C12" s="564" t="s">
        <v>59</v>
      </c>
      <c r="D12" s="566" t="s">
        <v>60</v>
      </c>
      <c r="E12" s="566" t="s">
        <v>61</v>
      </c>
      <c r="F12" s="566"/>
    </row>
    <row r="13" spans="2:6" ht="19.5" customHeight="1" x14ac:dyDescent="0.3">
      <c r="B13" s="563"/>
      <c r="C13" s="565"/>
      <c r="D13" s="566"/>
      <c r="E13" s="483" t="s">
        <v>31</v>
      </c>
      <c r="F13" s="483" t="s">
        <v>62</v>
      </c>
    </row>
    <row r="14" spans="2:6" ht="35.5" customHeight="1" x14ac:dyDescent="0.3">
      <c r="B14" s="545" t="s">
        <v>264</v>
      </c>
      <c r="C14" s="132" t="s">
        <v>275</v>
      </c>
      <c r="D14" s="590" t="s">
        <v>3</v>
      </c>
      <c r="E14" s="133" t="s">
        <v>32</v>
      </c>
      <c r="F14" s="257">
        <v>504368.49</v>
      </c>
    </row>
    <row r="15" spans="2:6" ht="19.5" customHeight="1" x14ac:dyDescent="0.3">
      <c r="B15" s="546"/>
      <c r="C15" s="545" t="s">
        <v>209</v>
      </c>
      <c r="D15" s="540"/>
      <c r="E15" s="133" t="s">
        <v>36</v>
      </c>
      <c r="F15" s="257">
        <v>116000</v>
      </c>
    </row>
    <row r="16" spans="2:6" ht="21" customHeight="1" x14ac:dyDescent="0.3">
      <c r="B16" s="546"/>
      <c r="C16" s="547"/>
      <c r="D16" s="540"/>
      <c r="E16" s="545" t="s">
        <v>37</v>
      </c>
      <c r="F16" s="667">
        <v>114105</v>
      </c>
    </row>
    <row r="17" spans="2:6" ht="24" x14ac:dyDescent="0.3">
      <c r="B17" s="546"/>
      <c r="C17" s="486" t="s">
        <v>313</v>
      </c>
      <c r="D17" s="540"/>
      <c r="E17" s="546"/>
      <c r="F17" s="668"/>
    </row>
    <row r="18" spans="2:6" ht="12.65" customHeight="1" x14ac:dyDescent="0.3">
      <c r="B18" s="547"/>
      <c r="C18" s="486" t="s">
        <v>314</v>
      </c>
      <c r="D18" s="541"/>
      <c r="E18" s="547"/>
      <c r="F18" s="669"/>
    </row>
    <row r="19" spans="2:6" x14ac:dyDescent="0.3">
      <c r="B19" s="145" t="s">
        <v>38</v>
      </c>
      <c r="C19" s="151"/>
      <c r="D19" s="298"/>
      <c r="E19" s="145"/>
      <c r="F19" s="299">
        <f>SUM(F14:F16)</f>
        <v>734473.49</v>
      </c>
    </row>
    <row r="20" spans="2:6" ht="27.5" customHeight="1" x14ac:dyDescent="0.3">
      <c r="B20" s="545" t="s">
        <v>92</v>
      </c>
      <c r="C20" s="490" t="s">
        <v>208</v>
      </c>
      <c r="D20" s="590" t="s">
        <v>3</v>
      </c>
      <c r="E20" s="133" t="s">
        <v>32</v>
      </c>
      <c r="F20" s="257">
        <f>197081.635-27713</f>
        <v>169368.63500000001</v>
      </c>
    </row>
    <row r="21" spans="2:6" ht="16" customHeight="1" x14ac:dyDescent="0.3">
      <c r="B21" s="546"/>
      <c r="C21" s="666" t="s">
        <v>271</v>
      </c>
      <c r="D21" s="540"/>
      <c r="E21" s="133" t="s">
        <v>36</v>
      </c>
      <c r="F21" s="257">
        <v>21000</v>
      </c>
    </row>
    <row r="22" spans="2:6" ht="16" customHeight="1" x14ac:dyDescent="0.3">
      <c r="B22" s="546"/>
      <c r="C22" s="666"/>
      <c r="D22" s="541"/>
      <c r="E22" s="489" t="s">
        <v>37</v>
      </c>
      <c r="F22" s="257">
        <v>39104.83</v>
      </c>
    </row>
    <row r="23" spans="2:6" x14ac:dyDescent="0.3">
      <c r="B23" s="145" t="s">
        <v>38</v>
      </c>
      <c r="C23" s="151"/>
      <c r="D23" s="298"/>
      <c r="E23" s="145"/>
      <c r="F23" s="299">
        <f>SUM(F20:F22)</f>
        <v>229473.46500000003</v>
      </c>
    </row>
    <row r="24" spans="2:6" x14ac:dyDescent="0.3">
      <c r="B24" s="145" t="s">
        <v>75</v>
      </c>
      <c r="C24" s="151"/>
      <c r="D24" s="298"/>
      <c r="E24" s="145"/>
      <c r="F24" s="299">
        <f>F23+F19</f>
        <v>963946.95500000007</v>
      </c>
    </row>
    <row r="25" spans="2:6" x14ac:dyDescent="0.3">
      <c r="B25" s="195" t="s">
        <v>26</v>
      </c>
      <c r="C25" s="188"/>
      <c r="D25" s="188"/>
      <c r="E25" s="188"/>
      <c r="F25" s="190">
        <f>F24+F10</f>
        <v>1038946.9550000001</v>
      </c>
    </row>
    <row r="26" spans="2:6" x14ac:dyDescent="0.3">
      <c r="B26" s="192" t="s">
        <v>67</v>
      </c>
      <c r="C26" s="192"/>
      <c r="D26" s="192"/>
      <c r="E26" s="192"/>
      <c r="F26" s="194">
        <f>0.07*F25</f>
        <v>72726.286850000019</v>
      </c>
    </row>
    <row r="27" spans="2:6" x14ac:dyDescent="0.3">
      <c r="B27" s="195" t="s">
        <v>68</v>
      </c>
      <c r="C27" s="188"/>
      <c r="D27" s="188"/>
      <c r="E27" s="188"/>
      <c r="F27" s="190">
        <f>SUM(F25:F26)</f>
        <v>1111673.2418500001</v>
      </c>
    </row>
    <row r="29" spans="2:6" x14ac:dyDescent="0.3">
      <c r="B29" s="500" t="s">
        <v>315</v>
      </c>
    </row>
    <row r="31" spans="2:6" x14ac:dyDescent="0.3">
      <c r="B31" s="196" t="s">
        <v>69</v>
      </c>
      <c r="C31" s="302" t="s">
        <v>2</v>
      </c>
      <c r="D31" s="302" t="s">
        <v>3</v>
      </c>
      <c r="E31" s="302" t="s">
        <v>4</v>
      </c>
      <c r="F31" s="302" t="s">
        <v>111</v>
      </c>
    </row>
    <row r="32" spans="2:6" x14ac:dyDescent="0.3">
      <c r="B32" s="141" t="s">
        <v>32</v>
      </c>
      <c r="C32" s="198">
        <f>F7</f>
        <v>60000</v>
      </c>
      <c r="D32" s="199">
        <f>F14+F20</f>
        <v>673737.125</v>
      </c>
      <c r="E32" s="233"/>
      <c r="F32" s="201">
        <f t="shared" ref="F32:F37" si="0">SUM(C32:E32)</f>
        <v>733737.125</v>
      </c>
    </row>
    <row r="33" spans="2:6" x14ac:dyDescent="0.3">
      <c r="B33" s="141" t="s">
        <v>36</v>
      </c>
      <c r="C33" s="198">
        <f>F8</f>
        <v>15000</v>
      </c>
      <c r="D33" s="199">
        <f>F15+F21</f>
        <v>137000</v>
      </c>
      <c r="E33" s="233"/>
      <c r="F33" s="201">
        <f t="shared" si="0"/>
        <v>152000</v>
      </c>
    </row>
    <row r="34" spans="2:6" x14ac:dyDescent="0.3">
      <c r="B34" s="142" t="s">
        <v>37</v>
      </c>
      <c r="C34" s="198">
        <f>F9</f>
        <v>0</v>
      </c>
      <c r="D34" s="199">
        <f>F16+F22</f>
        <v>153209.83000000002</v>
      </c>
      <c r="E34" s="233"/>
      <c r="F34" s="201">
        <f t="shared" si="0"/>
        <v>153209.83000000002</v>
      </c>
    </row>
    <row r="35" spans="2:6" x14ac:dyDescent="0.3">
      <c r="B35" s="202" t="s">
        <v>26</v>
      </c>
      <c r="C35" s="203">
        <f>SUM(C32:C34)</f>
        <v>75000</v>
      </c>
      <c r="D35" s="234">
        <f>SUM(D32:D34)</f>
        <v>963946.95500000007</v>
      </c>
      <c r="E35" s="203"/>
      <c r="F35" s="203">
        <f t="shared" si="0"/>
        <v>1038946.9550000001</v>
      </c>
    </row>
    <row r="36" spans="2:6" x14ac:dyDescent="0.3">
      <c r="B36" s="192" t="s">
        <v>269</v>
      </c>
      <c r="C36" s="198">
        <f>0.07*C35</f>
        <v>5250.0000000000009</v>
      </c>
      <c r="D36" s="199">
        <f>0.07*D35</f>
        <v>67476.286850000019</v>
      </c>
      <c r="E36" s="233"/>
      <c r="F36" s="201">
        <f t="shared" si="0"/>
        <v>72726.286850000019</v>
      </c>
    </row>
    <row r="37" spans="2:6" x14ac:dyDescent="0.3">
      <c r="B37" s="211" t="s">
        <v>1</v>
      </c>
      <c r="C37" s="222">
        <f>SUM(C35:C36)</f>
        <v>80250</v>
      </c>
      <c r="D37" s="199">
        <f>SUM(D35:D36)</f>
        <v>1031423.2418500001</v>
      </c>
      <c r="E37" s="224"/>
      <c r="F37" s="201">
        <f t="shared" si="0"/>
        <v>1111673.2418500001</v>
      </c>
    </row>
    <row r="39" spans="2:6" ht="0.75" customHeight="1" x14ac:dyDescent="0.3">
      <c r="B39" s="227" t="s">
        <v>71</v>
      </c>
    </row>
    <row r="40" spans="2:6" hidden="1" x14ac:dyDescent="0.3">
      <c r="B40" s="196" t="s">
        <v>69</v>
      </c>
      <c r="C40" s="196" t="s">
        <v>3</v>
      </c>
      <c r="E40" s="209"/>
    </row>
    <row r="41" spans="2:6" hidden="1" x14ac:dyDescent="0.3">
      <c r="B41" s="141" t="s">
        <v>32</v>
      </c>
      <c r="C41" s="194">
        <f>D32</f>
        <v>673737.125</v>
      </c>
      <c r="E41" s="303"/>
    </row>
    <row r="42" spans="2:6" hidden="1" x14ac:dyDescent="0.3">
      <c r="B42" s="141" t="s">
        <v>36</v>
      </c>
      <c r="C42" s="194">
        <f>D33</f>
        <v>137000</v>
      </c>
      <c r="E42" s="303"/>
    </row>
    <row r="43" spans="2:6" hidden="1" x14ac:dyDescent="0.3">
      <c r="B43" s="142" t="s">
        <v>37</v>
      </c>
      <c r="C43" s="194">
        <f>D34</f>
        <v>153209.83000000002</v>
      </c>
      <c r="E43" s="303"/>
    </row>
    <row r="44" spans="2:6" hidden="1" x14ac:dyDescent="0.3">
      <c r="B44" s="192" t="s">
        <v>26</v>
      </c>
      <c r="C44" s="201">
        <f>SUM(C41:C43)</f>
        <v>963946.95500000007</v>
      </c>
      <c r="E44" s="303"/>
    </row>
    <row r="45" spans="2:6" hidden="1" x14ac:dyDescent="0.3">
      <c r="B45" s="192" t="s">
        <v>70</v>
      </c>
      <c r="C45" s="194">
        <f>0.07*C44</f>
        <v>67476.286850000019</v>
      </c>
      <c r="E45" s="304"/>
    </row>
    <row r="46" spans="2:6" hidden="1" x14ac:dyDescent="0.3">
      <c r="B46" s="211" t="s">
        <v>1</v>
      </c>
      <c r="C46" s="212">
        <f>SUM(C44:C45)</f>
        <v>1031423.2418500001</v>
      </c>
      <c r="E46" s="305"/>
    </row>
    <row r="48" spans="2:6" ht="12.5" thickBot="1" x14ac:dyDescent="0.35">
      <c r="B48" s="214" t="s">
        <v>186</v>
      </c>
      <c r="C48" s="253">
        <f>'[9]2019 Comparison'!F22</f>
        <v>75000</v>
      </c>
      <c r="D48" s="253">
        <f>'[9]2019 Comparison'!G22</f>
        <v>573600</v>
      </c>
      <c r="E48" s="253">
        <f>'[9]2019 Comparison'!H22</f>
        <v>0</v>
      </c>
      <c r="F48" s="253">
        <f>'[9]2019 Comparison'!I22</f>
        <v>648600</v>
      </c>
    </row>
    <row r="49" spans="2:6" ht="12.5" thickTop="1" x14ac:dyDescent="0.3"/>
    <row r="50" spans="2:6" x14ac:dyDescent="0.3">
      <c r="B50" s="559" t="s">
        <v>57</v>
      </c>
      <c r="C50" s="560"/>
      <c r="D50" s="560"/>
      <c r="E50" s="560"/>
      <c r="F50" s="561"/>
    </row>
    <row r="51" spans="2:6" x14ac:dyDescent="0.3">
      <c r="B51" s="217" t="s">
        <v>31</v>
      </c>
      <c r="C51" s="218" t="s">
        <v>100</v>
      </c>
      <c r="D51" s="219" t="s">
        <v>2</v>
      </c>
      <c r="E51" s="238" t="s">
        <v>3</v>
      </c>
      <c r="F51" s="219" t="s">
        <v>4</v>
      </c>
    </row>
    <row r="52" spans="2:6" x14ac:dyDescent="0.3">
      <c r="B52" s="192" t="s">
        <v>32</v>
      </c>
      <c r="C52" s="221">
        <f>D52+E52+F52</f>
        <v>60000</v>
      </c>
      <c r="D52" s="198">
        <f>C32</f>
        <v>60000</v>
      </c>
      <c r="E52" s="199"/>
      <c r="F52" s="233"/>
    </row>
    <row r="53" spans="2:6" x14ac:dyDescent="0.3">
      <c r="B53" s="192" t="s">
        <v>33</v>
      </c>
      <c r="C53" s="221">
        <f t="shared" ref="C53:C58" si="1">D53+E53+F53</f>
        <v>0</v>
      </c>
      <c r="D53" s="198"/>
      <c r="E53" s="199"/>
      <c r="F53" s="233"/>
    </row>
    <row r="54" spans="2:6" ht="24" x14ac:dyDescent="0.3">
      <c r="B54" s="193" t="s">
        <v>34</v>
      </c>
      <c r="C54" s="221">
        <f t="shared" si="1"/>
        <v>0</v>
      </c>
      <c r="D54" s="198"/>
      <c r="E54" s="199"/>
      <c r="F54" s="233"/>
    </row>
    <row r="55" spans="2:6" x14ac:dyDescent="0.3">
      <c r="B55" s="192" t="s">
        <v>35</v>
      </c>
      <c r="C55" s="221">
        <f t="shared" si="1"/>
        <v>0</v>
      </c>
      <c r="D55" s="198"/>
      <c r="E55" s="199"/>
      <c r="F55" s="233"/>
    </row>
    <row r="56" spans="2:6" x14ac:dyDescent="0.3">
      <c r="B56" s="192" t="s">
        <v>36</v>
      </c>
      <c r="C56" s="221">
        <f t="shared" si="1"/>
        <v>15000</v>
      </c>
      <c r="D56" s="198">
        <f>C33</f>
        <v>15000</v>
      </c>
      <c r="E56" s="199"/>
      <c r="F56" s="233"/>
    </row>
    <row r="57" spans="2:6" x14ac:dyDescent="0.3">
      <c r="B57" s="193" t="s">
        <v>53</v>
      </c>
      <c r="C57" s="221">
        <f t="shared" si="1"/>
        <v>0</v>
      </c>
      <c r="D57" s="198"/>
      <c r="E57" s="199"/>
      <c r="F57" s="233"/>
    </row>
    <row r="58" spans="2:6" x14ac:dyDescent="0.3">
      <c r="B58" s="193" t="s">
        <v>37</v>
      </c>
      <c r="C58" s="221">
        <f t="shared" si="1"/>
        <v>0</v>
      </c>
      <c r="D58" s="198"/>
      <c r="E58" s="199"/>
      <c r="F58" s="233"/>
    </row>
    <row r="59" spans="2:6" x14ac:dyDescent="0.3">
      <c r="B59" s="140" t="s">
        <v>38</v>
      </c>
      <c r="C59" s="225">
        <f>SUM(C52:C58)</f>
        <v>75000</v>
      </c>
      <c r="D59" s="225">
        <f>SUM(D52:D58)</f>
        <v>75000</v>
      </c>
      <c r="E59" s="225">
        <f>SUM(E52:E58)</f>
        <v>0</v>
      </c>
      <c r="F59" s="225">
        <f>SUM(F52:F58)</f>
        <v>0</v>
      </c>
    </row>
    <row r="61" spans="2:6" ht="30" customHeight="1" x14ac:dyDescent="0.3">
      <c r="B61" s="559" t="s">
        <v>63</v>
      </c>
      <c r="C61" s="560"/>
      <c r="D61" s="560"/>
      <c r="E61" s="560"/>
      <c r="F61" s="561"/>
    </row>
    <row r="62" spans="2:6" x14ac:dyDescent="0.3">
      <c r="B62" s="217" t="s">
        <v>31</v>
      </c>
      <c r="C62" s="218" t="s">
        <v>100</v>
      </c>
      <c r="D62" s="219" t="s">
        <v>2</v>
      </c>
      <c r="E62" s="238" t="s">
        <v>3</v>
      </c>
      <c r="F62" s="219" t="s">
        <v>4</v>
      </c>
    </row>
    <row r="63" spans="2:6" x14ac:dyDescent="0.3">
      <c r="B63" s="192" t="s">
        <v>32</v>
      </c>
      <c r="C63" s="221">
        <f>D63+E63+F63</f>
        <v>673737.125</v>
      </c>
      <c r="D63" s="198"/>
      <c r="E63" s="199">
        <f>D32</f>
        <v>673737.125</v>
      </c>
      <c r="F63" s="233"/>
    </row>
    <row r="64" spans="2:6" x14ac:dyDescent="0.3">
      <c r="B64" s="192" t="s">
        <v>33</v>
      </c>
      <c r="C64" s="221">
        <f t="shared" ref="C64:C69" si="2">D64+E64+F64</f>
        <v>0</v>
      </c>
      <c r="D64" s="198"/>
      <c r="E64" s="199"/>
      <c r="F64" s="233"/>
    </row>
    <row r="65" spans="2:6" ht="24" x14ac:dyDescent="0.3">
      <c r="B65" s="193" t="s">
        <v>34</v>
      </c>
      <c r="C65" s="221">
        <f t="shared" si="2"/>
        <v>0</v>
      </c>
      <c r="D65" s="198"/>
      <c r="E65" s="199"/>
      <c r="F65" s="233"/>
    </row>
    <row r="66" spans="2:6" x14ac:dyDescent="0.3">
      <c r="B66" s="192" t="s">
        <v>35</v>
      </c>
      <c r="C66" s="221">
        <f t="shared" si="2"/>
        <v>0</v>
      </c>
      <c r="D66" s="198"/>
      <c r="E66" s="199"/>
      <c r="F66" s="233"/>
    </row>
    <row r="67" spans="2:6" x14ac:dyDescent="0.3">
      <c r="B67" s="192" t="s">
        <v>36</v>
      </c>
      <c r="C67" s="221">
        <f t="shared" si="2"/>
        <v>137000</v>
      </c>
      <c r="D67" s="198"/>
      <c r="E67" s="199">
        <f>D33</f>
        <v>137000</v>
      </c>
      <c r="F67" s="233"/>
    </row>
    <row r="68" spans="2:6" x14ac:dyDescent="0.3">
      <c r="B68" s="193" t="s">
        <v>53</v>
      </c>
      <c r="C68" s="221">
        <f t="shared" si="2"/>
        <v>0</v>
      </c>
      <c r="D68" s="198"/>
      <c r="E68" s="199"/>
      <c r="F68" s="233"/>
    </row>
    <row r="69" spans="2:6" x14ac:dyDescent="0.3">
      <c r="B69" s="193" t="s">
        <v>37</v>
      </c>
      <c r="C69" s="221">
        <f t="shared" si="2"/>
        <v>153209.83000000002</v>
      </c>
      <c r="D69" s="198"/>
      <c r="E69" s="199">
        <f>D34</f>
        <v>153209.83000000002</v>
      </c>
      <c r="F69" s="233"/>
    </row>
    <row r="70" spans="2:6" x14ac:dyDescent="0.3">
      <c r="B70" s="140" t="s">
        <v>38</v>
      </c>
      <c r="C70" s="225">
        <f>SUM(C63:C69)</f>
        <v>963946.95500000007</v>
      </c>
      <c r="D70" s="225">
        <f>SUM(D63:D69)</f>
        <v>0</v>
      </c>
      <c r="E70" s="225">
        <f>SUM(E63:E69)</f>
        <v>963946.95500000007</v>
      </c>
      <c r="F70" s="225">
        <f>SUM(F63:F69)</f>
        <v>0</v>
      </c>
    </row>
  </sheetData>
  <mergeCells count="24">
    <mergeCell ref="B3:F3"/>
    <mergeCell ref="B4:F4"/>
    <mergeCell ref="B5:B6"/>
    <mergeCell ref="C5:C6"/>
    <mergeCell ref="D5:D6"/>
    <mergeCell ref="E5:F5"/>
    <mergeCell ref="B7:B9"/>
    <mergeCell ref="D7:D9"/>
    <mergeCell ref="C8:C9"/>
    <mergeCell ref="B11:F11"/>
    <mergeCell ref="B12:B13"/>
    <mergeCell ref="C12:C13"/>
    <mergeCell ref="D12:D13"/>
    <mergeCell ref="E12:F12"/>
    <mergeCell ref="B50:F50"/>
    <mergeCell ref="B61:F61"/>
    <mergeCell ref="C15:C16"/>
    <mergeCell ref="B20:B22"/>
    <mergeCell ref="D20:D22"/>
    <mergeCell ref="C21:C22"/>
    <mergeCell ref="B14:B18"/>
    <mergeCell ref="D14:D18"/>
    <mergeCell ref="E16:E18"/>
    <mergeCell ref="F16:F18"/>
  </mergeCells>
  <pageMargins left="0.70866141732283472" right="0.70866141732283472" top="0.74803149606299213" bottom="0.74803149606299213" header="0.31496062992125984" footer="0.31496062992125984"/>
  <pageSetup paperSize="9" scale="80" orientation="landscape" horizontalDpi="300" verticalDpi="300" r:id="rId1"/>
  <rowBreaks count="1" manualBreakCount="1">
    <brk id="30"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F53"/>
  <sheetViews>
    <sheetView showGridLines="0" topLeftCell="A5" zoomScale="90" zoomScaleNormal="90" workbookViewId="0">
      <selection activeCell="E8" sqref="E8"/>
    </sheetView>
  </sheetViews>
  <sheetFormatPr defaultColWidth="9.1796875" defaultRowHeight="12" x14ac:dyDescent="0.3"/>
  <cols>
    <col min="1" max="1" width="0.81640625" style="178" customWidth="1"/>
    <col min="2" max="2" width="36.7265625" style="207" customWidth="1"/>
    <col min="3" max="3" width="59" style="207" customWidth="1"/>
    <col min="4" max="4" width="10.54296875" style="207" customWidth="1"/>
    <col min="5" max="5" width="25.26953125" style="207" customWidth="1"/>
    <col min="6" max="6" width="23.08984375" style="207" customWidth="1"/>
    <col min="7" max="16384" width="9.1796875" style="178"/>
  </cols>
  <sheetData>
    <row r="3" spans="2:6" x14ac:dyDescent="0.3">
      <c r="B3" s="137" t="s">
        <v>93</v>
      </c>
      <c r="C3" s="137"/>
      <c r="D3" s="137"/>
      <c r="E3" s="137"/>
      <c r="F3" s="138"/>
    </row>
    <row r="4" spans="2:6" ht="28.5" customHeight="1" x14ac:dyDescent="0.3">
      <c r="B4" s="559" t="s">
        <v>63</v>
      </c>
      <c r="C4" s="560"/>
      <c r="D4" s="560"/>
      <c r="E4" s="560"/>
      <c r="F4" s="561"/>
    </row>
    <row r="5" spans="2:6" ht="17.25" customHeight="1" x14ac:dyDescent="0.3">
      <c r="B5" s="562" t="s">
        <v>58</v>
      </c>
      <c r="C5" s="564" t="s">
        <v>59</v>
      </c>
      <c r="D5" s="566" t="s">
        <v>60</v>
      </c>
      <c r="E5" s="640" t="s">
        <v>61</v>
      </c>
      <c r="F5" s="641"/>
    </row>
    <row r="6" spans="2:6" x14ac:dyDescent="0.3">
      <c r="B6" s="563"/>
      <c r="C6" s="565"/>
      <c r="D6" s="566"/>
      <c r="E6" s="483" t="s">
        <v>31</v>
      </c>
      <c r="F6" s="483" t="s">
        <v>62</v>
      </c>
    </row>
    <row r="7" spans="2:6" ht="37" customHeight="1" x14ac:dyDescent="0.3">
      <c r="B7" s="674" t="s">
        <v>266</v>
      </c>
      <c r="C7" s="132" t="s">
        <v>197</v>
      </c>
      <c r="D7" s="590" t="s">
        <v>3</v>
      </c>
      <c r="E7" s="133" t="s">
        <v>32</v>
      </c>
      <c r="F7" s="257">
        <v>598828</v>
      </c>
    </row>
    <row r="8" spans="2:6" ht="64.5" customHeight="1" x14ac:dyDescent="0.3">
      <c r="B8" s="675"/>
      <c r="C8" s="132" t="s">
        <v>195</v>
      </c>
      <c r="D8" s="540"/>
      <c r="E8" s="133" t="s">
        <v>36</v>
      </c>
      <c r="F8" s="257">
        <v>71000</v>
      </c>
    </row>
    <row r="9" spans="2:6" ht="26.15" customHeight="1" x14ac:dyDescent="0.3">
      <c r="B9" s="675"/>
      <c r="C9" s="132" t="s">
        <v>196</v>
      </c>
      <c r="D9" s="540"/>
      <c r="E9" s="545" t="s">
        <v>37</v>
      </c>
      <c r="F9" s="667">
        <v>77882</v>
      </c>
    </row>
    <row r="10" spans="2:6" ht="54.65" customHeight="1" x14ac:dyDescent="0.3">
      <c r="B10" s="675"/>
      <c r="C10" s="132" t="s">
        <v>198</v>
      </c>
      <c r="D10" s="540"/>
      <c r="E10" s="546"/>
      <c r="F10" s="668"/>
    </row>
    <row r="11" spans="2:6" x14ac:dyDescent="0.3">
      <c r="B11" s="675"/>
      <c r="C11" s="132" t="s">
        <v>311</v>
      </c>
      <c r="D11" s="540"/>
      <c r="E11" s="546"/>
      <c r="F11" s="668"/>
    </row>
    <row r="12" spans="2:6" x14ac:dyDescent="0.3">
      <c r="B12" s="676"/>
      <c r="C12" s="132" t="s">
        <v>312</v>
      </c>
      <c r="D12" s="541"/>
      <c r="E12" s="547"/>
      <c r="F12" s="669"/>
    </row>
    <row r="13" spans="2:6" x14ac:dyDescent="0.3">
      <c r="B13" s="195" t="s">
        <v>26</v>
      </c>
      <c r="C13" s="188"/>
      <c r="D13" s="188"/>
      <c r="E13" s="188"/>
      <c r="F13" s="306">
        <f>SUM(F7:F12)</f>
        <v>747710</v>
      </c>
    </row>
    <row r="14" spans="2:6" x14ac:dyDescent="0.3">
      <c r="B14" s="192" t="s">
        <v>67</v>
      </c>
      <c r="C14" s="192"/>
      <c r="D14" s="192"/>
      <c r="E14" s="192"/>
      <c r="F14" s="201">
        <f>0.07*F13</f>
        <v>52339.700000000004</v>
      </c>
    </row>
    <row r="15" spans="2:6" x14ac:dyDescent="0.3">
      <c r="B15" s="195" t="s">
        <v>68</v>
      </c>
      <c r="C15" s="188"/>
      <c r="D15" s="188"/>
      <c r="E15" s="188"/>
      <c r="F15" s="306">
        <f>SUM(F13:F14)</f>
        <v>800049.7</v>
      </c>
    </row>
    <row r="17" spans="2:6" x14ac:dyDescent="0.3">
      <c r="B17" s="500" t="s">
        <v>316</v>
      </c>
    </row>
    <row r="18" spans="2:6" x14ac:dyDescent="0.3">
      <c r="B18" s="498"/>
    </row>
    <row r="19" spans="2:6" ht="24.5" thickBot="1" x14ac:dyDescent="0.35">
      <c r="B19" s="214" t="s">
        <v>186</v>
      </c>
      <c r="C19" s="215"/>
      <c r="D19" s="215"/>
      <c r="E19" s="215"/>
      <c r="F19" s="215">
        <f>430200</f>
        <v>430200</v>
      </c>
    </row>
    <row r="20" spans="2:6" ht="12.5" thickTop="1" x14ac:dyDescent="0.3"/>
    <row r="21" spans="2:6" ht="22.5" customHeight="1" x14ac:dyDescent="0.3">
      <c r="B21" s="673"/>
      <c r="C21" s="673"/>
      <c r="D21" s="673"/>
      <c r="E21" s="673"/>
      <c r="F21" s="673"/>
    </row>
    <row r="22" spans="2:6" x14ac:dyDescent="0.3">
      <c r="B22" s="196" t="s">
        <v>69</v>
      </c>
      <c r="C22" s="302" t="s">
        <v>2</v>
      </c>
      <c r="D22" s="302" t="s">
        <v>3</v>
      </c>
      <c r="E22" s="302" t="s">
        <v>4</v>
      </c>
      <c r="F22" s="302" t="s">
        <v>111</v>
      </c>
    </row>
    <row r="23" spans="2:6" x14ac:dyDescent="0.3">
      <c r="B23" s="141" t="s">
        <v>32</v>
      </c>
      <c r="C23" s="198">
        <v>0</v>
      </c>
      <c r="D23" s="199">
        <f>F7</f>
        <v>598828</v>
      </c>
      <c r="E23" s="233"/>
      <c r="F23" s="201">
        <f t="shared" ref="F23:F28" si="0">SUM(C23:E23)</f>
        <v>598828</v>
      </c>
    </row>
    <row r="24" spans="2:6" x14ac:dyDescent="0.3">
      <c r="B24" s="141" t="s">
        <v>36</v>
      </c>
      <c r="C24" s="198">
        <v>0</v>
      </c>
      <c r="D24" s="199">
        <f>F8</f>
        <v>71000</v>
      </c>
      <c r="E24" s="233"/>
      <c r="F24" s="201">
        <f t="shared" si="0"/>
        <v>71000</v>
      </c>
    </row>
    <row r="25" spans="2:6" x14ac:dyDescent="0.3">
      <c r="B25" s="142" t="s">
        <v>37</v>
      </c>
      <c r="C25" s="198">
        <v>0</v>
      </c>
      <c r="D25" s="199">
        <f>F9</f>
        <v>77882</v>
      </c>
      <c r="E25" s="233"/>
      <c r="F25" s="201">
        <f t="shared" si="0"/>
        <v>77882</v>
      </c>
    </row>
    <row r="26" spans="2:6" x14ac:dyDescent="0.3">
      <c r="B26" s="202" t="s">
        <v>26</v>
      </c>
      <c r="C26" s="203">
        <v>0</v>
      </c>
      <c r="D26" s="234">
        <f>SUM(D23:D25)</f>
        <v>747710</v>
      </c>
      <c r="E26" s="203"/>
      <c r="F26" s="203">
        <f t="shared" si="0"/>
        <v>747710</v>
      </c>
    </row>
    <row r="27" spans="2:6" x14ac:dyDescent="0.3">
      <c r="B27" s="192" t="s">
        <v>70</v>
      </c>
      <c r="C27" s="198">
        <v>0</v>
      </c>
      <c r="D27" s="199">
        <f>D26*0.07</f>
        <v>52339.700000000004</v>
      </c>
      <c r="E27" s="233"/>
      <c r="F27" s="201">
        <f t="shared" si="0"/>
        <v>52339.700000000004</v>
      </c>
    </row>
    <row r="28" spans="2:6" x14ac:dyDescent="0.3">
      <c r="B28" s="211" t="s">
        <v>1</v>
      </c>
      <c r="C28" s="276">
        <v>0</v>
      </c>
      <c r="D28" s="461">
        <f>D27+D26</f>
        <v>800049.7</v>
      </c>
      <c r="E28" s="476"/>
      <c r="F28" s="212">
        <f t="shared" si="0"/>
        <v>800049.7</v>
      </c>
    </row>
    <row r="31" spans="2:6" ht="12.5" thickBot="1" x14ac:dyDescent="0.35">
      <c r="B31" s="253" t="s">
        <v>72</v>
      </c>
      <c r="C31" s="253">
        <f>'[9]2019 Comparison'!F23</f>
        <v>0</v>
      </c>
      <c r="D31" s="253">
        <f>'[9]2019 Comparison'!G23</f>
        <v>430200</v>
      </c>
      <c r="E31" s="253">
        <f>'[9]2019 Comparison'!H23</f>
        <v>0</v>
      </c>
      <c r="F31" s="253">
        <f>'[9]2019 Comparison'!I23</f>
        <v>430200</v>
      </c>
    </row>
    <row r="32" spans="2:6" ht="12.5" thickTop="1" x14ac:dyDescent="0.3"/>
    <row r="33" spans="2:6" x14ac:dyDescent="0.3">
      <c r="B33" s="559" t="s">
        <v>57</v>
      </c>
      <c r="C33" s="560"/>
      <c r="D33" s="560"/>
      <c r="E33" s="560"/>
      <c r="F33" s="561"/>
    </row>
    <row r="34" spans="2:6" x14ac:dyDescent="0.3">
      <c r="B34" s="217" t="s">
        <v>31</v>
      </c>
      <c r="C34" s="218" t="s">
        <v>100</v>
      </c>
      <c r="D34" s="219" t="s">
        <v>2</v>
      </c>
      <c r="E34" s="238" t="s">
        <v>3</v>
      </c>
      <c r="F34" s="219" t="s">
        <v>4</v>
      </c>
    </row>
    <row r="35" spans="2:6" x14ac:dyDescent="0.3">
      <c r="B35" s="192" t="s">
        <v>32</v>
      </c>
      <c r="C35" s="221">
        <f>D35+E35+F35</f>
        <v>0</v>
      </c>
      <c r="D35" s="198"/>
      <c r="E35" s="199"/>
      <c r="F35" s="233"/>
    </row>
    <row r="36" spans="2:6" x14ac:dyDescent="0.3">
      <c r="B36" s="192" t="s">
        <v>33</v>
      </c>
      <c r="C36" s="221">
        <f t="shared" ref="C36:C41" si="1">D36+E36+F36</f>
        <v>0</v>
      </c>
      <c r="D36" s="198"/>
      <c r="E36" s="199"/>
      <c r="F36" s="233"/>
    </row>
    <row r="37" spans="2:6" ht="24" x14ac:dyDescent="0.3">
      <c r="B37" s="193" t="s">
        <v>34</v>
      </c>
      <c r="C37" s="221">
        <f t="shared" si="1"/>
        <v>0</v>
      </c>
      <c r="D37" s="198"/>
      <c r="E37" s="199"/>
      <c r="F37" s="233"/>
    </row>
    <row r="38" spans="2:6" x14ac:dyDescent="0.3">
      <c r="B38" s="192" t="s">
        <v>35</v>
      </c>
      <c r="C38" s="221">
        <f t="shared" si="1"/>
        <v>0</v>
      </c>
      <c r="D38" s="198"/>
      <c r="E38" s="199"/>
      <c r="F38" s="233"/>
    </row>
    <row r="39" spans="2:6" x14ac:dyDescent="0.3">
      <c r="B39" s="192" t="s">
        <v>36</v>
      </c>
      <c r="C39" s="221">
        <f t="shared" si="1"/>
        <v>0</v>
      </c>
      <c r="D39" s="198"/>
      <c r="E39" s="199"/>
      <c r="F39" s="233"/>
    </row>
    <row r="40" spans="2:6" x14ac:dyDescent="0.3">
      <c r="B40" s="193" t="s">
        <v>53</v>
      </c>
      <c r="C40" s="221">
        <f t="shared" si="1"/>
        <v>0</v>
      </c>
      <c r="D40" s="198"/>
      <c r="E40" s="199"/>
      <c r="F40" s="233"/>
    </row>
    <row r="41" spans="2:6" x14ac:dyDescent="0.3">
      <c r="B41" s="193" t="s">
        <v>37</v>
      </c>
      <c r="C41" s="221">
        <f t="shared" si="1"/>
        <v>0</v>
      </c>
      <c r="D41" s="198"/>
      <c r="E41" s="199"/>
      <c r="F41" s="233"/>
    </row>
    <row r="42" spans="2:6" x14ac:dyDescent="0.3">
      <c r="B42" s="140" t="s">
        <v>38</v>
      </c>
      <c r="C42" s="225">
        <f>SUM(C35:C41)</f>
        <v>0</v>
      </c>
      <c r="D42" s="225">
        <f>SUM(D35:D41)</f>
        <v>0</v>
      </c>
      <c r="E42" s="225">
        <f>SUM(E35:E41)</f>
        <v>0</v>
      </c>
      <c r="F42" s="225">
        <f>SUM(F35:F41)</f>
        <v>0</v>
      </c>
    </row>
    <row r="44" spans="2:6" ht="31.5" customHeight="1" x14ac:dyDescent="0.3">
      <c r="B44" s="559" t="s">
        <v>63</v>
      </c>
      <c r="C44" s="560"/>
      <c r="D44" s="560"/>
      <c r="E44" s="560"/>
      <c r="F44" s="561"/>
    </row>
    <row r="45" spans="2:6" x14ac:dyDescent="0.3">
      <c r="B45" s="217" t="s">
        <v>31</v>
      </c>
      <c r="C45" s="218" t="s">
        <v>100</v>
      </c>
      <c r="D45" s="219" t="s">
        <v>2</v>
      </c>
      <c r="E45" s="238" t="s">
        <v>3</v>
      </c>
      <c r="F45" s="219" t="s">
        <v>4</v>
      </c>
    </row>
    <row r="46" spans="2:6" x14ac:dyDescent="0.3">
      <c r="B46" s="192" t="s">
        <v>32</v>
      </c>
      <c r="C46" s="221">
        <f>D46+E46+F46</f>
        <v>598828</v>
      </c>
      <c r="D46" s="198"/>
      <c r="E46" s="199">
        <f>D23</f>
        <v>598828</v>
      </c>
      <c r="F46" s="233"/>
    </row>
    <row r="47" spans="2:6" x14ac:dyDescent="0.3">
      <c r="B47" s="192" t="s">
        <v>33</v>
      </c>
      <c r="C47" s="221">
        <f t="shared" ref="C47:C52" si="2">D47+E47+F47</f>
        <v>0</v>
      </c>
      <c r="D47" s="198"/>
      <c r="E47" s="199"/>
      <c r="F47" s="233"/>
    </row>
    <row r="48" spans="2:6" ht="24" x14ac:dyDescent="0.3">
      <c r="B48" s="193" t="s">
        <v>34</v>
      </c>
      <c r="C48" s="221">
        <f t="shared" si="2"/>
        <v>0</v>
      </c>
      <c r="D48" s="198"/>
      <c r="E48" s="199"/>
      <c r="F48" s="233"/>
    </row>
    <row r="49" spans="2:6" x14ac:dyDescent="0.3">
      <c r="B49" s="192" t="s">
        <v>35</v>
      </c>
      <c r="C49" s="221">
        <f t="shared" si="2"/>
        <v>0</v>
      </c>
      <c r="D49" s="198"/>
      <c r="E49" s="199"/>
      <c r="F49" s="233"/>
    </row>
    <row r="50" spans="2:6" x14ac:dyDescent="0.3">
      <c r="B50" s="192" t="s">
        <v>36</v>
      </c>
      <c r="C50" s="221">
        <f t="shared" si="2"/>
        <v>71000</v>
      </c>
      <c r="D50" s="198"/>
      <c r="E50" s="199">
        <f>D24</f>
        <v>71000</v>
      </c>
      <c r="F50" s="233"/>
    </row>
    <row r="51" spans="2:6" x14ac:dyDescent="0.3">
      <c r="B51" s="193" t="s">
        <v>53</v>
      </c>
      <c r="C51" s="221">
        <f t="shared" si="2"/>
        <v>0</v>
      </c>
      <c r="D51" s="198"/>
      <c r="E51" s="199"/>
      <c r="F51" s="233"/>
    </row>
    <row r="52" spans="2:6" x14ac:dyDescent="0.3">
      <c r="B52" s="193" t="s">
        <v>37</v>
      </c>
      <c r="C52" s="221">
        <f t="shared" si="2"/>
        <v>77882</v>
      </c>
      <c r="D52" s="198"/>
      <c r="E52" s="199">
        <f>D25</f>
        <v>77882</v>
      </c>
      <c r="F52" s="233"/>
    </row>
    <row r="53" spans="2:6" x14ac:dyDescent="0.3">
      <c r="B53" s="140" t="s">
        <v>38</v>
      </c>
      <c r="C53" s="225">
        <f>SUM(C46:C52)</f>
        <v>747710</v>
      </c>
      <c r="D53" s="225">
        <f>SUM(D46:D52)</f>
        <v>0</v>
      </c>
      <c r="E53" s="225">
        <f>SUM(E46:E52)</f>
        <v>747710</v>
      </c>
      <c r="F53" s="225">
        <f>SUM(F46:F52)</f>
        <v>0</v>
      </c>
    </row>
  </sheetData>
  <mergeCells count="12">
    <mergeCell ref="B21:F21"/>
    <mergeCell ref="B33:F33"/>
    <mergeCell ref="B44:F44"/>
    <mergeCell ref="B7:B12"/>
    <mergeCell ref="D7:D12"/>
    <mergeCell ref="E9:E12"/>
    <mergeCell ref="F9:F12"/>
    <mergeCell ref="B4:F4"/>
    <mergeCell ref="B5:B6"/>
    <mergeCell ref="C5:C6"/>
    <mergeCell ref="D5:D6"/>
    <mergeCell ref="E5:F5"/>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M68"/>
  <sheetViews>
    <sheetView showGridLines="0" topLeftCell="A4" zoomScaleNormal="100" workbookViewId="0">
      <selection activeCell="B4" sqref="B4:F4"/>
    </sheetView>
  </sheetViews>
  <sheetFormatPr defaultRowHeight="12" x14ac:dyDescent="0.35"/>
  <cols>
    <col min="1" max="1" width="1.7265625" style="207" customWidth="1"/>
    <col min="2" max="2" width="40.7265625" style="207" customWidth="1"/>
    <col min="3" max="3" width="58" style="207" customWidth="1"/>
    <col min="4" max="4" width="10.453125" style="207" customWidth="1"/>
    <col min="5" max="5" width="26.7265625" style="207" customWidth="1"/>
    <col min="6" max="6" width="14.1796875" style="207" customWidth="1"/>
    <col min="7" max="7" width="16.1796875" style="207" customWidth="1"/>
    <col min="8" max="256" width="10.90625" style="207" customWidth="1"/>
    <col min="257" max="16384" width="8.7265625" style="207"/>
  </cols>
  <sheetData>
    <row r="3" spans="2:6" x14ac:dyDescent="0.35">
      <c r="B3" s="672" t="s">
        <v>84</v>
      </c>
      <c r="C3" s="672"/>
      <c r="D3" s="672"/>
      <c r="E3" s="672"/>
      <c r="F3" s="672"/>
    </row>
    <row r="4" spans="2:6" ht="21" customHeight="1" x14ac:dyDescent="0.35">
      <c r="B4" s="559" t="s">
        <v>57</v>
      </c>
      <c r="C4" s="560"/>
      <c r="D4" s="560"/>
      <c r="E4" s="560"/>
      <c r="F4" s="561"/>
    </row>
    <row r="5" spans="2:6" ht="16.5" customHeight="1" x14ac:dyDescent="0.35">
      <c r="B5" s="562" t="s">
        <v>58</v>
      </c>
      <c r="C5" s="564" t="s">
        <v>59</v>
      </c>
      <c r="D5" s="566" t="s">
        <v>60</v>
      </c>
      <c r="E5" s="640" t="s">
        <v>61</v>
      </c>
      <c r="F5" s="641"/>
    </row>
    <row r="6" spans="2:6" ht="12" customHeight="1" x14ac:dyDescent="0.35">
      <c r="B6" s="563"/>
      <c r="C6" s="565"/>
      <c r="D6" s="566"/>
      <c r="E6" s="165" t="s">
        <v>31</v>
      </c>
      <c r="F6" s="165" t="s">
        <v>62</v>
      </c>
    </row>
    <row r="7" spans="2:6" ht="37.5" customHeight="1" x14ac:dyDescent="0.35">
      <c r="B7" s="679" t="s">
        <v>268</v>
      </c>
      <c r="C7" s="126" t="s">
        <v>135</v>
      </c>
      <c r="D7" s="592" t="s">
        <v>4</v>
      </c>
      <c r="E7" s="172" t="s">
        <v>32</v>
      </c>
      <c r="F7" s="186">
        <v>100000</v>
      </c>
    </row>
    <row r="8" spans="2:6" ht="12.5" customHeight="1" x14ac:dyDescent="0.35">
      <c r="B8" s="680"/>
      <c r="C8" s="126" t="s">
        <v>136</v>
      </c>
      <c r="D8" s="593"/>
      <c r="E8" s="115" t="s">
        <v>36</v>
      </c>
      <c r="F8" s="184">
        <v>50000</v>
      </c>
    </row>
    <row r="9" spans="2:6" ht="28.5" customHeight="1" x14ac:dyDescent="0.35">
      <c r="B9" s="681"/>
      <c r="C9" s="121" t="s">
        <v>137</v>
      </c>
      <c r="D9" s="594"/>
      <c r="E9" s="116" t="s">
        <v>37</v>
      </c>
      <c r="F9" s="184">
        <v>50000</v>
      </c>
    </row>
    <row r="10" spans="2:6" x14ac:dyDescent="0.35">
      <c r="B10" s="145" t="s">
        <v>75</v>
      </c>
      <c r="C10" s="151"/>
      <c r="D10" s="298"/>
      <c r="E10" s="145"/>
      <c r="F10" s="299">
        <f>SUM(F7:F9)</f>
        <v>200000</v>
      </c>
    </row>
    <row r="11" spans="2:6" ht="28.5" customHeight="1" x14ac:dyDescent="0.35">
      <c r="B11" s="559" t="s">
        <v>39</v>
      </c>
      <c r="C11" s="560"/>
      <c r="D11" s="560"/>
      <c r="E11" s="560"/>
      <c r="F11" s="561"/>
    </row>
    <row r="12" spans="2:6" ht="17.25" customHeight="1" x14ac:dyDescent="0.35">
      <c r="B12" s="562" t="s">
        <v>58</v>
      </c>
      <c r="C12" s="564" t="s">
        <v>59</v>
      </c>
      <c r="D12" s="566" t="s">
        <v>60</v>
      </c>
      <c r="E12" s="640" t="s">
        <v>61</v>
      </c>
      <c r="F12" s="641"/>
    </row>
    <row r="13" spans="2:6" ht="16.5" customHeight="1" x14ac:dyDescent="0.35">
      <c r="B13" s="563"/>
      <c r="C13" s="565"/>
      <c r="D13" s="566"/>
      <c r="E13" s="165" t="s">
        <v>31</v>
      </c>
      <c r="F13" s="165" t="s">
        <v>62</v>
      </c>
    </row>
    <row r="14" spans="2:6" ht="31" customHeight="1" x14ac:dyDescent="0.35">
      <c r="B14" s="598" t="s">
        <v>267</v>
      </c>
      <c r="C14" s="123" t="s">
        <v>129</v>
      </c>
      <c r="D14" s="593" t="s">
        <v>4</v>
      </c>
      <c r="E14" s="116" t="s">
        <v>32</v>
      </c>
      <c r="F14" s="282">
        <v>409000</v>
      </c>
    </row>
    <row r="15" spans="2:6" ht="13.5" customHeight="1" x14ac:dyDescent="0.35">
      <c r="B15" s="599"/>
      <c r="C15" s="124" t="s">
        <v>130</v>
      </c>
      <c r="D15" s="593"/>
      <c r="E15" s="116" t="s">
        <v>36</v>
      </c>
      <c r="F15" s="282">
        <v>150000</v>
      </c>
    </row>
    <row r="16" spans="2:6" ht="25.15" customHeight="1" x14ac:dyDescent="0.35">
      <c r="B16" s="599"/>
      <c r="C16" s="677" t="s">
        <v>131</v>
      </c>
      <c r="D16" s="593"/>
      <c r="E16" s="116" t="s">
        <v>37</v>
      </c>
      <c r="F16" s="282">
        <v>110000</v>
      </c>
    </row>
    <row r="17" spans="2:7" ht="16.5" customHeight="1" x14ac:dyDescent="0.35">
      <c r="B17" s="600"/>
      <c r="C17" s="678"/>
      <c r="D17" s="594"/>
      <c r="E17" s="155" t="s">
        <v>85</v>
      </c>
      <c r="F17" s="307">
        <v>30000</v>
      </c>
    </row>
    <row r="18" spans="2:7" ht="16.5" customHeight="1" x14ac:dyDescent="0.35">
      <c r="B18" s="145" t="s">
        <v>38</v>
      </c>
      <c r="C18" s="151"/>
      <c r="D18" s="298"/>
      <c r="E18" s="145"/>
      <c r="F18" s="299">
        <f>SUM(F14:F17)</f>
        <v>699000</v>
      </c>
    </row>
    <row r="19" spans="2:7" ht="16.5" customHeight="1" x14ac:dyDescent="0.35">
      <c r="B19" s="598" t="s">
        <v>86</v>
      </c>
      <c r="C19" s="125" t="s">
        <v>132</v>
      </c>
      <c r="D19" s="593" t="s">
        <v>4</v>
      </c>
      <c r="E19" s="115" t="s">
        <v>32</v>
      </c>
      <c r="F19" s="184">
        <v>300000</v>
      </c>
    </row>
    <row r="20" spans="2:7" ht="18.75" customHeight="1" x14ac:dyDescent="0.35">
      <c r="B20" s="599"/>
      <c r="C20" s="125" t="s">
        <v>133</v>
      </c>
      <c r="D20" s="593"/>
      <c r="E20" s="115" t="s">
        <v>36</v>
      </c>
      <c r="F20" s="184">
        <v>45000</v>
      </c>
    </row>
    <row r="21" spans="2:7" ht="27" customHeight="1" x14ac:dyDescent="0.35">
      <c r="B21" s="600"/>
      <c r="C21" s="120" t="s">
        <v>134</v>
      </c>
      <c r="D21" s="594"/>
      <c r="E21" s="116" t="s">
        <v>37</v>
      </c>
      <c r="F21" s="184">
        <v>65000</v>
      </c>
    </row>
    <row r="22" spans="2:7" ht="16.5" customHeight="1" x14ac:dyDescent="0.35">
      <c r="B22" s="145" t="s">
        <v>38</v>
      </c>
      <c r="C22" s="151"/>
      <c r="D22" s="298"/>
      <c r="E22" s="145"/>
      <c r="F22" s="299">
        <f>SUM(F19:F21)</f>
        <v>410000</v>
      </c>
    </row>
    <row r="23" spans="2:7" ht="16.5" customHeight="1" x14ac:dyDescent="0.35">
      <c r="B23" s="145" t="s">
        <v>75</v>
      </c>
      <c r="C23" s="151"/>
      <c r="D23" s="298"/>
      <c r="E23" s="145"/>
      <c r="F23" s="299">
        <f>F22+F18</f>
        <v>1109000</v>
      </c>
    </row>
    <row r="24" spans="2:7" x14ac:dyDescent="0.35">
      <c r="B24" s="195" t="s">
        <v>26</v>
      </c>
      <c r="C24" s="188"/>
      <c r="D24" s="188"/>
      <c r="E24" s="188"/>
      <c r="F24" s="190">
        <f>F23+F10</f>
        <v>1309000</v>
      </c>
      <c r="G24" s="259"/>
    </row>
    <row r="25" spans="2:7" x14ac:dyDescent="0.35">
      <c r="B25" s="192" t="s">
        <v>67</v>
      </c>
      <c r="C25" s="192"/>
      <c r="D25" s="192"/>
      <c r="E25" s="192"/>
      <c r="F25" s="194">
        <f>0.07*F24</f>
        <v>91630.000000000015</v>
      </c>
      <c r="G25" s="259"/>
    </row>
    <row r="26" spans="2:7" x14ac:dyDescent="0.35">
      <c r="B26" s="195" t="s">
        <v>68</v>
      </c>
      <c r="C26" s="188"/>
      <c r="D26" s="188"/>
      <c r="E26" s="188"/>
      <c r="F26" s="190">
        <f>SUM(F24:F25)</f>
        <v>1400630</v>
      </c>
      <c r="G26" s="259"/>
    </row>
    <row r="28" spans="2:7" x14ac:dyDescent="0.35">
      <c r="B28" s="196" t="s">
        <v>69</v>
      </c>
      <c r="C28" s="196" t="s">
        <v>2</v>
      </c>
      <c r="D28" s="196" t="s">
        <v>3</v>
      </c>
      <c r="E28" s="196" t="s">
        <v>4</v>
      </c>
      <c r="F28" s="196" t="s">
        <v>111</v>
      </c>
    </row>
    <row r="29" spans="2:7" x14ac:dyDescent="0.35">
      <c r="B29" s="141" t="s">
        <v>32</v>
      </c>
      <c r="C29" s="198"/>
      <c r="D29" s="199"/>
      <c r="E29" s="233">
        <f>F7+F14+F19</f>
        <v>809000</v>
      </c>
      <c r="F29" s="201">
        <f>SUM(C29:E29)</f>
        <v>809000</v>
      </c>
    </row>
    <row r="30" spans="2:7" x14ac:dyDescent="0.35">
      <c r="B30" s="141" t="s">
        <v>36</v>
      </c>
      <c r="C30" s="198"/>
      <c r="D30" s="199"/>
      <c r="E30" s="233">
        <f>F8+F15+F20</f>
        <v>245000</v>
      </c>
      <c r="F30" s="201">
        <f t="shared" ref="F30:F35" si="0">SUM(C30:E30)</f>
        <v>245000</v>
      </c>
    </row>
    <row r="31" spans="2:7" x14ac:dyDescent="0.35">
      <c r="B31" s="142" t="s">
        <v>37</v>
      </c>
      <c r="C31" s="198"/>
      <c r="D31" s="199"/>
      <c r="E31" s="233">
        <f>F21+F16+F9</f>
        <v>225000</v>
      </c>
      <c r="F31" s="201">
        <f t="shared" si="0"/>
        <v>225000</v>
      </c>
    </row>
    <row r="32" spans="2:7" x14ac:dyDescent="0.35">
      <c r="B32" s="142" t="s">
        <v>85</v>
      </c>
      <c r="C32" s="198"/>
      <c r="D32" s="199"/>
      <c r="E32" s="233">
        <f>F17</f>
        <v>30000</v>
      </c>
      <c r="F32" s="201">
        <f t="shared" si="0"/>
        <v>30000</v>
      </c>
    </row>
    <row r="33" spans="2:7" x14ac:dyDescent="0.35">
      <c r="B33" s="269" t="s">
        <v>26</v>
      </c>
      <c r="C33" s="270">
        <v>0</v>
      </c>
      <c r="D33" s="308">
        <f>SUM(D30:D32)</f>
        <v>0</v>
      </c>
      <c r="E33" s="309">
        <f>SUM(E29:E32)</f>
        <v>1309000</v>
      </c>
      <c r="F33" s="205">
        <f t="shared" si="0"/>
        <v>1309000</v>
      </c>
      <c r="G33" s="261">
        <f>C57+C68</f>
        <v>1309000</v>
      </c>
    </row>
    <row r="34" spans="2:7" x14ac:dyDescent="0.35">
      <c r="B34" s="192" t="s">
        <v>269</v>
      </c>
      <c r="C34" s="198">
        <v>0</v>
      </c>
      <c r="D34" s="199">
        <f>D33*0.07</f>
        <v>0</v>
      </c>
      <c r="E34" s="233">
        <f>E33*0.07</f>
        <v>91630.000000000015</v>
      </c>
      <c r="F34" s="201">
        <f t="shared" si="0"/>
        <v>91630.000000000015</v>
      </c>
    </row>
    <row r="35" spans="2:7" x14ac:dyDescent="0.35">
      <c r="B35" s="211" t="s">
        <v>1</v>
      </c>
      <c r="C35" s="236">
        <v>0</v>
      </c>
      <c r="D35" s="461">
        <f>D34+D33</f>
        <v>0</v>
      </c>
      <c r="E35" s="250">
        <f>E34+E33</f>
        <v>1400630</v>
      </c>
      <c r="F35" s="212">
        <f t="shared" si="0"/>
        <v>1400630</v>
      </c>
    </row>
    <row r="36" spans="2:7" ht="14.25" customHeight="1" x14ac:dyDescent="0.35"/>
    <row r="37" spans="2:7" ht="5.25" hidden="1" customHeight="1" x14ac:dyDescent="0.35">
      <c r="B37" s="227" t="s">
        <v>71</v>
      </c>
    </row>
    <row r="38" spans="2:7" hidden="1" x14ac:dyDescent="0.35">
      <c r="B38" s="196" t="s">
        <v>69</v>
      </c>
      <c r="C38" s="196" t="s">
        <v>4</v>
      </c>
    </row>
    <row r="39" spans="2:7" hidden="1" x14ac:dyDescent="0.35">
      <c r="B39" s="141" t="s">
        <v>32</v>
      </c>
      <c r="C39" s="201">
        <f>F14+F19</f>
        <v>709000</v>
      </c>
    </row>
    <row r="40" spans="2:7" hidden="1" x14ac:dyDescent="0.35">
      <c r="B40" s="141" t="s">
        <v>36</v>
      </c>
      <c r="C40" s="201">
        <f>F15+F20</f>
        <v>195000</v>
      </c>
    </row>
    <row r="41" spans="2:7" hidden="1" x14ac:dyDescent="0.35">
      <c r="B41" s="142" t="s">
        <v>37</v>
      </c>
      <c r="C41" s="201">
        <f>F16+F21</f>
        <v>175000</v>
      </c>
    </row>
    <row r="42" spans="2:7" hidden="1" x14ac:dyDescent="0.35">
      <c r="B42" s="142" t="s">
        <v>85</v>
      </c>
      <c r="C42" s="201">
        <f>F17</f>
        <v>30000</v>
      </c>
    </row>
    <row r="43" spans="2:7" hidden="1" x14ac:dyDescent="0.35">
      <c r="B43" s="192" t="s">
        <v>26</v>
      </c>
      <c r="C43" s="201">
        <f>SUM(C39:C42)</f>
        <v>1109000</v>
      </c>
      <c r="D43" s="310"/>
    </row>
    <row r="44" spans="2:7" hidden="1" x14ac:dyDescent="0.35">
      <c r="B44" s="192" t="s">
        <v>70</v>
      </c>
      <c r="C44" s="194">
        <f>0.07*C43</f>
        <v>77630.000000000015</v>
      </c>
    </row>
    <row r="45" spans="2:7" hidden="1" x14ac:dyDescent="0.35">
      <c r="B45" s="311" t="s">
        <v>1</v>
      </c>
      <c r="C45" s="312">
        <f>SUM(C43:C44)</f>
        <v>1186630</v>
      </c>
    </row>
    <row r="46" spans="2:7" ht="12.5" thickBot="1" x14ac:dyDescent="0.4">
      <c r="B46" s="214" t="s">
        <v>186</v>
      </c>
      <c r="C46" s="313">
        <f>'2019 Comparison'!F24</f>
        <v>0</v>
      </c>
      <c r="D46" s="313">
        <f>'2019 Comparison'!G24</f>
        <v>0</v>
      </c>
      <c r="E46" s="313">
        <f>'2019 Comparison'!H24</f>
        <v>1309000</v>
      </c>
      <c r="F46" s="313">
        <f>'2019 Comparison'!I24</f>
        <v>1309000</v>
      </c>
    </row>
    <row r="47" spans="2:7" ht="12.5" thickTop="1" x14ac:dyDescent="0.35"/>
    <row r="48" spans="2:7" ht="29.25" customHeight="1" x14ac:dyDescent="0.35">
      <c r="B48" s="559" t="s">
        <v>57</v>
      </c>
      <c r="C48" s="560"/>
      <c r="D48" s="560"/>
      <c r="E48" s="560"/>
      <c r="F48" s="561"/>
    </row>
    <row r="49" spans="2:13" x14ac:dyDescent="0.35">
      <c r="B49" s="217" t="s">
        <v>31</v>
      </c>
      <c r="C49" s="218" t="s">
        <v>100</v>
      </c>
      <c r="D49" s="219" t="s">
        <v>2</v>
      </c>
      <c r="E49" s="238" t="s">
        <v>3</v>
      </c>
      <c r="F49" s="219" t="s">
        <v>4</v>
      </c>
    </row>
    <row r="50" spans="2:13" x14ac:dyDescent="0.35">
      <c r="B50" s="192" t="s">
        <v>32</v>
      </c>
      <c r="C50" s="221">
        <f>SUM(D50:F50)</f>
        <v>100000</v>
      </c>
      <c r="D50" s="198"/>
      <c r="E50" s="199"/>
      <c r="F50" s="233">
        <f>F7</f>
        <v>100000</v>
      </c>
    </row>
    <row r="51" spans="2:13" x14ac:dyDescent="0.35">
      <c r="B51" s="192" t="s">
        <v>33</v>
      </c>
      <c r="C51" s="221">
        <f t="shared" ref="C51:C56" si="1">SUM(D51:F51)</f>
        <v>0</v>
      </c>
      <c r="D51" s="198"/>
      <c r="E51" s="199"/>
      <c r="F51" s="233"/>
      <c r="M51" s="207" t="s">
        <v>118</v>
      </c>
    </row>
    <row r="52" spans="2:13" x14ac:dyDescent="0.35">
      <c r="B52" s="193" t="s">
        <v>34</v>
      </c>
      <c r="C52" s="221">
        <f t="shared" si="1"/>
        <v>0</v>
      </c>
      <c r="D52" s="198"/>
      <c r="E52" s="199"/>
      <c r="F52" s="233"/>
    </row>
    <row r="53" spans="2:13" x14ac:dyDescent="0.35">
      <c r="B53" s="192" t="s">
        <v>35</v>
      </c>
      <c r="C53" s="221">
        <f t="shared" si="1"/>
        <v>0</v>
      </c>
      <c r="D53" s="198"/>
      <c r="E53" s="199"/>
      <c r="F53" s="233"/>
    </row>
    <row r="54" spans="2:13" x14ac:dyDescent="0.35">
      <c r="B54" s="192" t="s">
        <v>36</v>
      </c>
      <c r="C54" s="221">
        <f t="shared" si="1"/>
        <v>50000</v>
      </c>
      <c r="D54" s="198"/>
      <c r="E54" s="199"/>
      <c r="F54" s="233">
        <f>F8</f>
        <v>50000</v>
      </c>
    </row>
    <row r="55" spans="2:13" x14ac:dyDescent="0.35">
      <c r="B55" s="193" t="s">
        <v>53</v>
      </c>
      <c r="C55" s="221">
        <f t="shared" si="1"/>
        <v>0</v>
      </c>
      <c r="D55" s="198"/>
      <c r="E55" s="199"/>
      <c r="F55" s="233"/>
    </row>
    <row r="56" spans="2:13" x14ac:dyDescent="0.35">
      <c r="B56" s="193" t="s">
        <v>37</v>
      </c>
      <c r="C56" s="221">
        <f t="shared" si="1"/>
        <v>50000</v>
      </c>
      <c r="D56" s="198"/>
      <c r="E56" s="199"/>
      <c r="F56" s="233">
        <f>F9</f>
        <v>50000</v>
      </c>
    </row>
    <row r="57" spans="2:13" x14ac:dyDescent="0.35">
      <c r="B57" s="140" t="s">
        <v>38</v>
      </c>
      <c r="C57" s="225">
        <f>SUM(C50:C56)</f>
        <v>200000</v>
      </c>
      <c r="D57" s="225">
        <f>SUM(D50:D56)</f>
        <v>0</v>
      </c>
      <c r="E57" s="225">
        <f>SUM(E50:E56)</f>
        <v>0</v>
      </c>
      <c r="F57" s="225">
        <f>SUM(F50:F56)</f>
        <v>200000</v>
      </c>
    </row>
    <row r="59" spans="2:13" ht="30.75" customHeight="1" x14ac:dyDescent="0.35">
      <c r="B59" s="559" t="s">
        <v>63</v>
      </c>
      <c r="C59" s="560"/>
      <c r="D59" s="560"/>
      <c r="E59" s="560"/>
      <c r="F59" s="561"/>
    </row>
    <row r="60" spans="2:13" x14ac:dyDescent="0.35">
      <c r="B60" s="217" t="s">
        <v>31</v>
      </c>
      <c r="C60" s="218" t="s">
        <v>100</v>
      </c>
      <c r="D60" s="219" t="s">
        <v>2</v>
      </c>
      <c r="E60" s="238" t="s">
        <v>3</v>
      </c>
      <c r="F60" s="219" t="s">
        <v>4</v>
      </c>
    </row>
    <row r="61" spans="2:13" x14ac:dyDescent="0.35">
      <c r="B61" s="192" t="s">
        <v>32</v>
      </c>
      <c r="C61" s="221">
        <f>D61+E61+F61</f>
        <v>709000</v>
      </c>
      <c r="D61" s="198"/>
      <c r="E61" s="199"/>
      <c r="F61" s="233">
        <f>F14+F19</f>
        <v>709000</v>
      </c>
    </row>
    <row r="62" spans="2:13" x14ac:dyDescent="0.35">
      <c r="B62" s="192" t="s">
        <v>33</v>
      </c>
      <c r="C62" s="221">
        <f t="shared" ref="C62:C67" si="2">D62+E62+F62</f>
        <v>0</v>
      </c>
      <c r="D62" s="198"/>
      <c r="E62" s="199"/>
      <c r="F62" s="233"/>
    </row>
    <row r="63" spans="2:13" x14ac:dyDescent="0.35">
      <c r="B63" s="193" t="s">
        <v>34</v>
      </c>
      <c r="C63" s="221">
        <f t="shared" si="2"/>
        <v>0</v>
      </c>
      <c r="D63" s="198"/>
      <c r="E63" s="199"/>
      <c r="F63" s="233"/>
    </row>
    <row r="64" spans="2:13" x14ac:dyDescent="0.35">
      <c r="B64" s="192" t="s">
        <v>35</v>
      </c>
      <c r="C64" s="221">
        <f t="shared" si="2"/>
        <v>30000</v>
      </c>
      <c r="D64" s="198"/>
      <c r="E64" s="199"/>
      <c r="F64" s="233">
        <f>F17</f>
        <v>30000</v>
      </c>
    </row>
    <row r="65" spans="2:6" x14ac:dyDescent="0.35">
      <c r="B65" s="192" t="s">
        <v>36</v>
      </c>
      <c r="C65" s="221">
        <f t="shared" si="2"/>
        <v>195000</v>
      </c>
      <c r="D65" s="198"/>
      <c r="E65" s="199"/>
      <c r="F65" s="233">
        <f>F15+F20</f>
        <v>195000</v>
      </c>
    </row>
    <row r="66" spans="2:6" x14ac:dyDescent="0.35">
      <c r="B66" s="193" t="s">
        <v>53</v>
      </c>
      <c r="C66" s="221">
        <f t="shared" si="2"/>
        <v>0</v>
      </c>
      <c r="D66" s="198"/>
      <c r="E66" s="199"/>
      <c r="F66" s="233"/>
    </row>
    <row r="67" spans="2:6" x14ac:dyDescent="0.35">
      <c r="B67" s="193" t="s">
        <v>37</v>
      </c>
      <c r="C67" s="221">
        <f t="shared" si="2"/>
        <v>175000</v>
      </c>
      <c r="D67" s="198"/>
      <c r="E67" s="199"/>
      <c r="F67" s="233">
        <f>F21+F16</f>
        <v>175000</v>
      </c>
    </row>
    <row r="68" spans="2:6" x14ac:dyDescent="0.35">
      <c r="B68" s="140" t="s">
        <v>38</v>
      </c>
      <c r="C68" s="225">
        <f>SUM(C61:C67)</f>
        <v>1109000</v>
      </c>
      <c r="D68" s="225">
        <f>SUM(D61:D67)</f>
        <v>0</v>
      </c>
      <c r="E68" s="225">
        <f>SUM(E61:E67)</f>
        <v>0</v>
      </c>
      <c r="F68" s="225">
        <f>SUM(F61:F67)</f>
        <v>1109000</v>
      </c>
    </row>
  </sheetData>
  <mergeCells count="20">
    <mergeCell ref="B3:F3"/>
    <mergeCell ref="B4:F4"/>
    <mergeCell ref="D7:D9"/>
    <mergeCell ref="B11:F11"/>
    <mergeCell ref="B7:B9"/>
    <mergeCell ref="B5:B6"/>
    <mergeCell ref="C5:C6"/>
    <mergeCell ref="D5:D6"/>
    <mergeCell ref="E5:F5"/>
    <mergeCell ref="B12:B13"/>
    <mergeCell ref="C12:C13"/>
    <mergeCell ref="D12:D13"/>
    <mergeCell ref="C16:C17"/>
    <mergeCell ref="B59:F59"/>
    <mergeCell ref="B48:F48"/>
    <mergeCell ref="B14:B17"/>
    <mergeCell ref="D14:D17"/>
    <mergeCell ref="B19:B21"/>
    <mergeCell ref="D19:D21"/>
    <mergeCell ref="E12:F12"/>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AA27"/>
  <sheetViews>
    <sheetView showGridLines="0" zoomScaleNormal="100" zoomScaleSheetLayoutView="75" workbookViewId="0">
      <selection activeCell="X15" sqref="X15:Z21"/>
    </sheetView>
  </sheetViews>
  <sheetFormatPr defaultColWidth="23.7265625" defaultRowHeight="14.5" x14ac:dyDescent="0.35"/>
  <cols>
    <col min="1" max="1" width="3" style="1" customWidth="1"/>
    <col min="2" max="2" width="27.81640625" style="2" customWidth="1"/>
    <col min="3" max="3" width="11.81640625" style="1" customWidth="1"/>
    <col min="4" max="4" width="12.54296875" style="1" customWidth="1"/>
    <col min="5" max="5" width="13" style="1" customWidth="1"/>
    <col min="6" max="6" width="12.26953125" style="1" customWidth="1"/>
    <col min="7" max="7" width="12.54296875" style="1" customWidth="1"/>
    <col min="8" max="8" width="11.26953125" style="1" customWidth="1"/>
    <col min="9" max="9" width="11.81640625" style="1" customWidth="1"/>
    <col min="10" max="10" width="1.81640625" style="11" customWidth="1"/>
    <col min="11" max="11" width="29.453125" style="1" customWidth="1"/>
    <col min="12" max="12" width="12.1796875" style="1" customWidth="1"/>
    <col min="13" max="13" width="11.7265625" style="1" customWidth="1"/>
    <col min="14" max="14" width="11.54296875" style="1" customWidth="1"/>
    <col min="15" max="15" width="10.7265625" style="1" customWidth="1"/>
    <col min="16" max="16" width="1.7265625" style="11" customWidth="1"/>
    <col min="17" max="17" width="29.26953125" style="1" customWidth="1"/>
    <col min="18" max="18" width="14" style="1" customWidth="1"/>
    <col min="19" max="19" width="11.81640625" style="1" customWidth="1"/>
    <col min="20" max="20" width="13" style="1" customWidth="1"/>
    <col min="21" max="21" width="12" style="1" customWidth="1"/>
    <col min="22" max="22" width="2" style="11" customWidth="1"/>
    <col min="23" max="23" width="31.54296875" style="1" customWidth="1"/>
    <col min="24" max="24" width="11.54296875" style="1" customWidth="1"/>
    <col min="25" max="25" width="11.1796875" style="1" customWidth="1"/>
    <col min="26" max="26" width="11.81640625" style="1" customWidth="1"/>
    <col min="27" max="27" width="12.26953125" style="1" customWidth="1"/>
    <col min="28" max="16384" width="23.7265625" style="1"/>
  </cols>
  <sheetData>
    <row r="2" spans="2:27" ht="24.75" customHeight="1" x14ac:dyDescent="0.35">
      <c r="B2" s="504" t="s">
        <v>52</v>
      </c>
      <c r="C2" s="504"/>
      <c r="D2" s="504"/>
      <c r="E2" s="504"/>
      <c r="F2" s="504"/>
      <c r="G2" s="504"/>
      <c r="H2" s="504"/>
      <c r="I2" s="504"/>
      <c r="K2" s="10" t="s">
        <v>2</v>
      </c>
      <c r="Q2" s="10" t="s">
        <v>3</v>
      </c>
      <c r="W2" s="10" t="s">
        <v>17</v>
      </c>
    </row>
    <row r="3" spans="2:27" ht="33" customHeight="1" x14ac:dyDescent="0.35">
      <c r="B3" s="501" t="s">
        <v>30</v>
      </c>
      <c r="C3" s="502"/>
      <c r="D3" s="502"/>
      <c r="E3" s="502"/>
      <c r="F3" s="502"/>
      <c r="G3" s="502"/>
      <c r="H3" s="502"/>
      <c r="I3" s="503"/>
      <c r="J3" s="12"/>
      <c r="K3" s="501" t="s">
        <v>30</v>
      </c>
      <c r="L3" s="502"/>
      <c r="M3" s="502"/>
      <c r="N3" s="502"/>
      <c r="O3" s="502"/>
      <c r="Q3" s="501" t="s">
        <v>30</v>
      </c>
      <c r="R3" s="502"/>
      <c r="S3" s="502"/>
      <c r="T3" s="502"/>
      <c r="U3" s="502"/>
      <c r="W3" s="501" t="s">
        <v>30</v>
      </c>
      <c r="X3" s="502"/>
      <c r="Y3" s="502"/>
      <c r="Z3" s="502"/>
      <c r="AA3" s="502"/>
    </row>
    <row r="4" spans="2:27" ht="20.149999999999999" customHeight="1" x14ac:dyDescent="0.35">
      <c r="B4" s="51" t="s">
        <v>31</v>
      </c>
      <c r="C4" s="51">
        <v>2018</v>
      </c>
      <c r="D4" s="51">
        <v>2019</v>
      </c>
      <c r="E4" s="51">
        <v>2020</v>
      </c>
      <c r="F4" s="51" t="s">
        <v>1</v>
      </c>
      <c r="G4" s="52" t="s">
        <v>2</v>
      </c>
      <c r="H4" s="53" t="s">
        <v>3</v>
      </c>
      <c r="I4" s="98" t="s">
        <v>4</v>
      </c>
      <c r="J4" s="13"/>
      <c r="K4" s="99" t="s">
        <v>31</v>
      </c>
      <c r="L4" s="51">
        <v>2018</v>
      </c>
      <c r="M4" s="51">
        <v>2019</v>
      </c>
      <c r="N4" s="51">
        <v>2020</v>
      </c>
      <c r="O4" s="51" t="s">
        <v>1</v>
      </c>
      <c r="Q4" s="99" t="s">
        <v>31</v>
      </c>
      <c r="R4" s="51">
        <v>2018</v>
      </c>
      <c r="S4" s="51">
        <v>2019</v>
      </c>
      <c r="T4" s="51">
        <v>2020</v>
      </c>
      <c r="U4" s="51" t="s">
        <v>1</v>
      </c>
      <c r="W4" s="99" t="s">
        <v>31</v>
      </c>
      <c r="X4" s="51">
        <v>2018</v>
      </c>
      <c r="Y4" s="51">
        <v>2019</v>
      </c>
      <c r="Z4" s="51">
        <v>2020</v>
      </c>
      <c r="AA4" s="51" t="s">
        <v>1</v>
      </c>
    </row>
    <row r="5" spans="2:27" ht="25" customHeight="1" x14ac:dyDescent="0.35">
      <c r="B5" s="48" t="s">
        <v>32</v>
      </c>
      <c r="C5" s="100">
        <f t="shared" ref="C5:E11" si="0">L5+R5+X5</f>
        <v>0</v>
      </c>
      <c r="D5" s="100">
        <f t="shared" si="0"/>
        <v>0</v>
      </c>
      <c r="E5" s="100">
        <f t="shared" si="0"/>
        <v>0</v>
      </c>
      <c r="F5" s="58">
        <f>SUM(C5:E5)</f>
        <v>0</v>
      </c>
      <c r="G5" s="55">
        <f>O5</f>
        <v>0</v>
      </c>
      <c r="H5" s="55">
        <f>U5</f>
        <v>0</v>
      </c>
      <c r="I5" s="55">
        <f>AA5</f>
        <v>0</v>
      </c>
      <c r="J5" s="13"/>
      <c r="K5" s="101" t="s">
        <v>32</v>
      </c>
      <c r="L5" s="102"/>
      <c r="M5" s="102"/>
      <c r="N5" s="102"/>
      <c r="O5" s="58">
        <f>SUM(L5:N5)</f>
        <v>0</v>
      </c>
      <c r="Q5" s="101" t="s">
        <v>32</v>
      </c>
      <c r="R5" s="102"/>
      <c r="S5" s="102"/>
      <c r="T5" s="102"/>
      <c r="U5" s="58">
        <f>SUM(R5:T5)</f>
        <v>0</v>
      </c>
      <c r="W5" s="101" t="s">
        <v>32</v>
      </c>
      <c r="X5" s="102"/>
      <c r="Y5" s="102"/>
      <c r="Z5" s="102"/>
      <c r="AA5" s="58">
        <f>SUM(X5:Z5)</f>
        <v>0</v>
      </c>
    </row>
    <row r="6" spans="2:27" ht="25" customHeight="1" x14ac:dyDescent="0.35">
      <c r="B6" s="48" t="s">
        <v>33</v>
      </c>
      <c r="C6" s="100">
        <f t="shared" si="0"/>
        <v>0</v>
      </c>
      <c r="D6" s="100">
        <f t="shared" si="0"/>
        <v>0</v>
      </c>
      <c r="E6" s="100">
        <f t="shared" si="0"/>
        <v>0</v>
      </c>
      <c r="F6" s="58">
        <f t="shared" ref="F6:F11" si="1">SUM(C6:E6)</f>
        <v>0</v>
      </c>
      <c r="G6" s="55">
        <f t="shared" ref="G6:G11" si="2">O6</f>
        <v>0</v>
      </c>
      <c r="H6" s="55">
        <f t="shared" ref="H6:H11" si="3">U6</f>
        <v>0</v>
      </c>
      <c r="I6" s="55">
        <f t="shared" ref="I6:I11" si="4">AA6</f>
        <v>0</v>
      </c>
      <c r="J6" s="13"/>
      <c r="K6" s="101" t="s">
        <v>33</v>
      </c>
      <c r="L6" s="102"/>
      <c r="M6" s="102"/>
      <c r="N6" s="102"/>
      <c r="O6" s="58">
        <f t="shared" ref="O6:O11" si="5">SUM(L6:N6)</f>
        <v>0</v>
      </c>
      <c r="Q6" s="101" t="s">
        <v>33</v>
      </c>
      <c r="R6" s="102"/>
      <c r="S6" s="102"/>
      <c r="T6" s="102"/>
      <c r="U6" s="58">
        <f t="shared" ref="U6:U11" si="6">SUM(R6:T6)</f>
        <v>0</v>
      </c>
      <c r="W6" s="101" t="s">
        <v>33</v>
      </c>
      <c r="X6" s="102"/>
      <c r="Y6" s="102"/>
      <c r="Z6" s="102"/>
      <c r="AA6" s="58">
        <f t="shared" ref="AA6:AA11" si="7">SUM(X6:Z6)</f>
        <v>0</v>
      </c>
    </row>
    <row r="7" spans="2:27" ht="25" customHeight="1" x14ac:dyDescent="0.35">
      <c r="B7" s="49" t="s">
        <v>34</v>
      </c>
      <c r="C7" s="100">
        <f t="shared" si="0"/>
        <v>0</v>
      </c>
      <c r="D7" s="100">
        <f t="shared" si="0"/>
        <v>0</v>
      </c>
      <c r="E7" s="100">
        <f t="shared" si="0"/>
        <v>0</v>
      </c>
      <c r="F7" s="58">
        <f t="shared" si="1"/>
        <v>0</v>
      </c>
      <c r="G7" s="55">
        <f t="shared" si="2"/>
        <v>0</v>
      </c>
      <c r="H7" s="55">
        <f t="shared" si="3"/>
        <v>0</v>
      </c>
      <c r="I7" s="55">
        <f t="shared" si="4"/>
        <v>0</v>
      </c>
      <c r="J7" s="13"/>
      <c r="K7" s="103" t="s">
        <v>34</v>
      </c>
      <c r="L7" s="102"/>
      <c r="M7" s="102"/>
      <c r="N7" s="102"/>
      <c r="O7" s="58">
        <f t="shared" si="5"/>
        <v>0</v>
      </c>
      <c r="Q7" s="103" t="s">
        <v>34</v>
      </c>
      <c r="R7" s="102"/>
      <c r="S7" s="102"/>
      <c r="T7" s="102"/>
      <c r="U7" s="58">
        <f t="shared" si="6"/>
        <v>0</v>
      </c>
      <c r="W7" s="103" t="s">
        <v>34</v>
      </c>
      <c r="X7" s="102"/>
      <c r="Y7" s="102"/>
      <c r="Z7" s="102"/>
      <c r="AA7" s="58">
        <f t="shared" si="7"/>
        <v>0</v>
      </c>
    </row>
    <row r="8" spans="2:27" ht="25" customHeight="1" x14ac:dyDescent="0.35">
      <c r="B8" s="48" t="s">
        <v>35</v>
      </c>
      <c r="C8" s="100">
        <f t="shared" si="0"/>
        <v>0</v>
      </c>
      <c r="D8" s="100">
        <f t="shared" si="0"/>
        <v>0</v>
      </c>
      <c r="E8" s="100">
        <f t="shared" si="0"/>
        <v>0</v>
      </c>
      <c r="F8" s="58">
        <f t="shared" si="1"/>
        <v>0</v>
      </c>
      <c r="G8" s="55">
        <f t="shared" si="2"/>
        <v>0</v>
      </c>
      <c r="H8" s="55">
        <f t="shared" si="3"/>
        <v>0</v>
      </c>
      <c r="I8" s="55">
        <f t="shared" si="4"/>
        <v>0</v>
      </c>
      <c r="J8" s="13"/>
      <c r="K8" s="101" t="s">
        <v>35</v>
      </c>
      <c r="L8" s="102"/>
      <c r="M8" s="102"/>
      <c r="N8" s="102"/>
      <c r="O8" s="58">
        <f t="shared" si="5"/>
        <v>0</v>
      </c>
      <c r="Q8" s="101" t="s">
        <v>35</v>
      </c>
      <c r="R8" s="102"/>
      <c r="S8" s="102"/>
      <c r="T8" s="102"/>
      <c r="U8" s="58">
        <f t="shared" si="6"/>
        <v>0</v>
      </c>
      <c r="W8" s="101" t="s">
        <v>35</v>
      </c>
      <c r="X8" s="102"/>
      <c r="Y8" s="102"/>
      <c r="Z8" s="102"/>
      <c r="AA8" s="58">
        <f t="shared" si="7"/>
        <v>0</v>
      </c>
    </row>
    <row r="9" spans="2:27" ht="25" customHeight="1" x14ac:dyDescent="0.35">
      <c r="B9" s="48" t="s">
        <v>36</v>
      </c>
      <c r="C9" s="100">
        <f t="shared" si="0"/>
        <v>0</v>
      </c>
      <c r="D9" s="100">
        <f t="shared" si="0"/>
        <v>0</v>
      </c>
      <c r="E9" s="100">
        <f t="shared" si="0"/>
        <v>0</v>
      </c>
      <c r="F9" s="58">
        <f t="shared" si="1"/>
        <v>0</v>
      </c>
      <c r="G9" s="55">
        <f t="shared" si="2"/>
        <v>0</v>
      </c>
      <c r="H9" s="55">
        <f t="shared" si="3"/>
        <v>0</v>
      </c>
      <c r="I9" s="55">
        <f t="shared" si="4"/>
        <v>0</v>
      </c>
      <c r="J9" s="13"/>
      <c r="K9" s="101" t="s">
        <v>36</v>
      </c>
      <c r="L9" s="102"/>
      <c r="M9" s="102"/>
      <c r="N9" s="102"/>
      <c r="O9" s="58">
        <f t="shared" si="5"/>
        <v>0</v>
      </c>
      <c r="Q9" s="101" t="s">
        <v>36</v>
      </c>
      <c r="R9" s="102"/>
      <c r="S9" s="102"/>
      <c r="T9" s="102"/>
      <c r="U9" s="58">
        <f t="shared" si="6"/>
        <v>0</v>
      </c>
      <c r="W9" s="101" t="s">
        <v>36</v>
      </c>
      <c r="X9" s="102"/>
      <c r="Y9" s="102"/>
      <c r="Z9" s="102"/>
      <c r="AA9" s="58">
        <f t="shared" si="7"/>
        <v>0</v>
      </c>
    </row>
    <row r="10" spans="2:27" ht="25" customHeight="1" x14ac:dyDescent="0.35">
      <c r="B10" s="49" t="s">
        <v>53</v>
      </c>
      <c r="C10" s="100">
        <f t="shared" si="0"/>
        <v>0</v>
      </c>
      <c r="D10" s="100">
        <f t="shared" si="0"/>
        <v>0</v>
      </c>
      <c r="E10" s="100">
        <f t="shared" si="0"/>
        <v>0</v>
      </c>
      <c r="F10" s="58">
        <f t="shared" si="1"/>
        <v>0</v>
      </c>
      <c r="G10" s="55">
        <f t="shared" si="2"/>
        <v>0</v>
      </c>
      <c r="H10" s="55">
        <f t="shared" si="3"/>
        <v>0</v>
      </c>
      <c r="I10" s="55">
        <f t="shared" si="4"/>
        <v>0</v>
      </c>
      <c r="J10" s="13"/>
      <c r="K10" s="103" t="s">
        <v>53</v>
      </c>
      <c r="L10" s="102"/>
      <c r="M10" s="102"/>
      <c r="N10" s="102"/>
      <c r="O10" s="58">
        <f t="shared" si="5"/>
        <v>0</v>
      </c>
      <c r="Q10" s="103" t="s">
        <v>53</v>
      </c>
      <c r="R10" s="102"/>
      <c r="S10" s="102"/>
      <c r="T10" s="102"/>
      <c r="U10" s="58">
        <f t="shared" si="6"/>
        <v>0</v>
      </c>
      <c r="W10" s="103" t="s">
        <v>53</v>
      </c>
      <c r="X10" s="102"/>
      <c r="Y10" s="102"/>
      <c r="Z10" s="102"/>
      <c r="AA10" s="58">
        <f t="shared" si="7"/>
        <v>0</v>
      </c>
    </row>
    <row r="11" spans="2:27" ht="25" customHeight="1" x14ac:dyDescent="0.35">
      <c r="B11" s="49" t="s">
        <v>37</v>
      </c>
      <c r="C11" s="100">
        <f t="shared" si="0"/>
        <v>0</v>
      </c>
      <c r="D11" s="100">
        <f t="shared" si="0"/>
        <v>0</v>
      </c>
      <c r="E11" s="100">
        <f t="shared" si="0"/>
        <v>0</v>
      </c>
      <c r="F11" s="58">
        <f t="shared" si="1"/>
        <v>0</v>
      </c>
      <c r="G11" s="55">
        <f t="shared" si="2"/>
        <v>0</v>
      </c>
      <c r="H11" s="55">
        <f t="shared" si="3"/>
        <v>0</v>
      </c>
      <c r="I11" s="55">
        <f t="shared" si="4"/>
        <v>0</v>
      </c>
      <c r="J11" s="13"/>
      <c r="K11" s="103" t="s">
        <v>37</v>
      </c>
      <c r="L11" s="102"/>
      <c r="M11" s="102"/>
      <c r="N11" s="102"/>
      <c r="O11" s="58">
        <f t="shared" si="5"/>
        <v>0</v>
      </c>
      <c r="Q11" s="103" t="s">
        <v>37</v>
      </c>
      <c r="R11" s="102"/>
      <c r="S11" s="102"/>
      <c r="T11" s="102"/>
      <c r="U11" s="58">
        <f t="shared" si="6"/>
        <v>0</v>
      </c>
      <c r="W11" s="103" t="s">
        <v>37</v>
      </c>
      <c r="X11" s="102"/>
      <c r="Y11" s="102"/>
      <c r="Z11" s="102"/>
      <c r="AA11" s="58">
        <f t="shared" si="7"/>
        <v>0</v>
      </c>
    </row>
    <row r="12" spans="2:27" ht="20.149999999999999" customHeight="1" x14ac:dyDescent="0.35">
      <c r="B12" s="56" t="s">
        <v>38</v>
      </c>
      <c r="C12" s="104">
        <f t="shared" ref="C12:I12" si="8">SUM(C5:C11)</f>
        <v>0</v>
      </c>
      <c r="D12" s="104">
        <f t="shared" si="8"/>
        <v>0</v>
      </c>
      <c r="E12" s="104">
        <f t="shared" si="8"/>
        <v>0</v>
      </c>
      <c r="F12" s="104">
        <f t="shared" si="8"/>
        <v>0</v>
      </c>
      <c r="G12" s="105">
        <f t="shared" si="8"/>
        <v>0</v>
      </c>
      <c r="H12" s="105">
        <f t="shared" si="8"/>
        <v>0</v>
      </c>
      <c r="I12" s="105">
        <f t="shared" si="8"/>
        <v>0</v>
      </c>
      <c r="K12" s="106" t="s">
        <v>38</v>
      </c>
      <c r="L12" s="104">
        <f>SUM(L5:L11)</f>
        <v>0</v>
      </c>
      <c r="M12" s="104">
        <f>SUM(M5:M11)</f>
        <v>0</v>
      </c>
      <c r="N12" s="104">
        <f>SUM(N5:N11)</f>
        <v>0</v>
      </c>
      <c r="O12" s="104">
        <f>SUM(O5:O11)</f>
        <v>0</v>
      </c>
      <c r="Q12" s="106" t="s">
        <v>38</v>
      </c>
      <c r="R12" s="104">
        <f>SUM(R5:R11)</f>
        <v>0</v>
      </c>
      <c r="S12" s="104">
        <f>SUM(S5:S11)</f>
        <v>0</v>
      </c>
      <c r="T12" s="104">
        <f>SUM(T5:T11)</f>
        <v>0</v>
      </c>
      <c r="U12" s="104">
        <f>SUM(U5:U11)</f>
        <v>0</v>
      </c>
      <c r="W12" s="106" t="s">
        <v>38</v>
      </c>
      <c r="X12" s="104">
        <f>SUM(X5:X11)</f>
        <v>0</v>
      </c>
      <c r="Y12" s="104">
        <f>SUM(Y5:Y11)</f>
        <v>0</v>
      </c>
      <c r="Z12" s="104">
        <f>SUM(Z5:Z11)</f>
        <v>0</v>
      </c>
      <c r="AA12" s="104">
        <f>SUM(AA5:AA11)</f>
        <v>0</v>
      </c>
    </row>
    <row r="13" spans="2:27" ht="28.5" customHeight="1" x14ac:dyDescent="0.35">
      <c r="B13" s="501" t="s">
        <v>39</v>
      </c>
      <c r="C13" s="502"/>
      <c r="D13" s="502"/>
      <c r="E13" s="502"/>
      <c r="F13" s="502"/>
      <c r="G13" s="502"/>
      <c r="H13" s="502"/>
      <c r="I13" s="503"/>
      <c r="K13" s="501" t="s">
        <v>39</v>
      </c>
      <c r="L13" s="502"/>
      <c r="M13" s="502"/>
      <c r="N13" s="502"/>
      <c r="O13" s="502"/>
      <c r="Q13" s="501" t="s">
        <v>39</v>
      </c>
      <c r="R13" s="502"/>
      <c r="S13" s="502"/>
      <c r="T13" s="502"/>
      <c r="U13" s="502"/>
      <c r="W13" s="501" t="s">
        <v>39</v>
      </c>
      <c r="X13" s="502"/>
      <c r="Y13" s="502"/>
      <c r="Z13" s="502"/>
      <c r="AA13" s="502"/>
    </row>
    <row r="14" spans="2:27" ht="20.149999999999999" customHeight="1" x14ac:dyDescent="0.35">
      <c r="B14" s="51" t="s">
        <v>31</v>
      </c>
      <c r="C14" s="51">
        <v>2018</v>
      </c>
      <c r="D14" s="51">
        <v>2019</v>
      </c>
      <c r="E14" s="51">
        <v>2020</v>
      </c>
      <c r="F14" s="9" t="s">
        <v>1</v>
      </c>
      <c r="G14" s="52" t="s">
        <v>2</v>
      </c>
      <c r="H14" s="53" t="s">
        <v>3</v>
      </c>
      <c r="I14" s="98" t="s">
        <v>4</v>
      </c>
      <c r="K14" s="99" t="s">
        <v>31</v>
      </c>
      <c r="L14" s="51">
        <v>2018</v>
      </c>
      <c r="M14" s="51">
        <v>2019</v>
      </c>
      <c r="N14" s="51">
        <v>2020</v>
      </c>
      <c r="O14" s="9" t="s">
        <v>1</v>
      </c>
      <c r="Q14" s="99" t="s">
        <v>31</v>
      </c>
      <c r="R14" s="51">
        <v>2018</v>
      </c>
      <c r="S14" s="51">
        <v>2019</v>
      </c>
      <c r="T14" s="51">
        <v>2020</v>
      </c>
      <c r="U14" s="9" t="s">
        <v>1</v>
      </c>
      <c r="W14" s="99" t="s">
        <v>31</v>
      </c>
      <c r="X14" s="51">
        <v>2018</v>
      </c>
      <c r="Y14" s="51">
        <v>2019</v>
      </c>
      <c r="Z14" s="51">
        <v>2020</v>
      </c>
      <c r="AA14" s="9" t="s">
        <v>1</v>
      </c>
    </row>
    <row r="15" spans="2:27" ht="25" customHeight="1" x14ac:dyDescent="0.35">
      <c r="B15" s="48" t="s">
        <v>32</v>
      </c>
      <c r="C15" s="100">
        <f t="shared" ref="C15:E21" si="9">L15+R15+X15</f>
        <v>0</v>
      </c>
      <c r="D15" s="100">
        <f t="shared" si="9"/>
        <v>0</v>
      </c>
      <c r="E15" s="100">
        <f t="shared" si="9"/>
        <v>0</v>
      </c>
      <c r="F15" s="58">
        <f>SUM(C15:E15)</f>
        <v>0</v>
      </c>
      <c r="G15" s="107">
        <f>O15</f>
        <v>0</v>
      </c>
      <c r="H15" s="107">
        <f>U15</f>
        <v>0</v>
      </c>
      <c r="I15" s="107">
        <f>AA15</f>
        <v>0</v>
      </c>
      <c r="K15" s="101" t="s">
        <v>32</v>
      </c>
      <c r="L15" s="102"/>
      <c r="M15" s="102"/>
      <c r="N15" s="102"/>
      <c r="O15" s="58">
        <f>SUM(L15:N15)</f>
        <v>0</v>
      </c>
      <c r="Q15" s="101" t="s">
        <v>32</v>
      </c>
      <c r="R15" s="102"/>
      <c r="S15" s="102"/>
      <c r="T15" s="102"/>
      <c r="U15" s="58">
        <f>SUM(R15:T15)</f>
        <v>0</v>
      </c>
      <c r="W15" s="101" t="s">
        <v>32</v>
      </c>
      <c r="X15" s="102"/>
      <c r="Y15" s="102"/>
      <c r="Z15" s="102"/>
      <c r="AA15" s="58">
        <f>SUM(X15:Z15)</f>
        <v>0</v>
      </c>
    </row>
    <row r="16" spans="2:27" ht="25" customHeight="1" x14ac:dyDescent="0.35">
      <c r="B16" s="48" t="s">
        <v>33</v>
      </c>
      <c r="C16" s="100">
        <f t="shared" si="9"/>
        <v>0</v>
      </c>
      <c r="D16" s="100">
        <f t="shared" si="9"/>
        <v>0</v>
      </c>
      <c r="E16" s="100">
        <f t="shared" si="9"/>
        <v>0</v>
      </c>
      <c r="F16" s="58">
        <f t="shared" ref="F16:F21" si="10">SUM(C16:E16)</f>
        <v>0</v>
      </c>
      <c r="G16" s="107">
        <f t="shared" ref="G16:G21" si="11">O16</f>
        <v>0</v>
      </c>
      <c r="H16" s="107">
        <f t="shared" ref="H16:H21" si="12">U16</f>
        <v>0</v>
      </c>
      <c r="I16" s="107">
        <f t="shared" ref="I16:I21" si="13">AA16</f>
        <v>0</v>
      </c>
      <c r="K16" s="101" t="s">
        <v>33</v>
      </c>
      <c r="L16" s="102"/>
      <c r="M16" s="102"/>
      <c r="N16" s="102"/>
      <c r="O16" s="58">
        <f t="shared" ref="O16:O21" si="14">SUM(L16:N16)</f>
        <v>0</v>
      </c>
      <c r="Q16" s="101" t="s">
        <v>33</v>
      </c>
      <c r="R16" s="102"/>
      <c r="S16" s="102"/>
      <c r="T16" s="102"/>
      <c r="U16" s="58">
        <f t="shared" ref="U16:U21" si="15">SUM(R16:T16)</f>
        <v>0</v>
      </c>
      <c r="W16" s="101" t="s">
        <v>33</v>
      </c>
      <c r="X16" s="102"/>
      <c r="Y16" s="102"/>
      <c r="Z16" s="102"/>
      <c r="AA16" s="58">
        <f t="shared" ref="AA16:AA21" si="16">SUM(X16:Z16)</f>
        <v>0</v>
      </c>
    </row>
    <row r="17" spans="2:27" ht="25" customHeight="1" x14ac:dyDescent="0.35">
      <c r="B17" s="49" t="s">
        <v>34</v>
      </c>
      <c r="C17" s="100">
        <f t="shared" si="9"/>
        <v>0</v>
      </c>
      <c r="D17" s="100">
        <f t="shared" si="9"/>
        <v>0</v>
      </c>
      <c r="E17" s="100">
        <f t="shared" si="9"/>
        <v>0</v>
      </c>
      <c r="F17" s="58">
        <f t="shared" si="10"/>
        <v>0</v>
      </c>
      <c r="G17" s="107">
        <f t="shared" si="11"/>
        <v>0</v>
      </c>
      <c r="H17" s="107">
        <f t="shared" si="12"/>
        <v>0</v>
      </c>
      <c r="I17" s="107">
        <f t="shared" si="13"/>
        <v>0</v>
      </c>
      <c r="K17" s="103" t="s">
        <v>34</v>
      </c>
      <c r="L17" s="102"/>
      <c r="M17" s="102"/>
      <c r="N17" s="102"/>
      <c r="O17" s="58">
        <f t="shared" si="14"/>
        <v>0</v>
      </c>
      <c r="Q17" s="103" t="s">
        <v>34</v>
      </c>
      <c r="R17" s="102"/>
      <c r="S17" s="102"/>
      <c r="T17" s="102"/>
      <c r="U17" s="58">
        <f t="shared" si="15"/>
        <v>0</v>
      </c>
      <c r="W17" s="103" t="s">
        <v>34</v>
      </c>
      <c r="X17" s="102"/>
      <c r="Y17" s="102"/>
      <c r="Z17" s="102"/>
      <c r="AA17" s="58">
        <f t="shared" si="16"/>
        <v>0</v>
      </c>
    </row>
    <row r="18" spans="2:27" ht="25" customHeight="1" x14ac:dyDescent="0.35">
      <c r="B18" s="48" t="s">
        <v>35</v>
      </c>
      <c r="C18" s="100">
        <f t="shared" si="9"/>
        <v>0</v>
      </c>
      <c r="D18" s="100">
        <f t="shared" si="9"/>
        <v>0</v>
      </c>
      <c r="E18" s="100">
        <f t="shared" si="9"/>
        <v>0</v>
      </c>
      <c r="F18" s="58">
        <f t="shared" si="10"/>
        <v>0</v>
      </c>
      <c r="G18" s="107">
        <f t="shared" si="11"/>
        <v>0</v>
      </c>
      <c r="H18" s="107">
        <f t="shared" si="12"/>
        <v>0</v>
      </c>
      <c r="I18" s="107">
        <f t="shared" si="13"/>
        <v>0</v>
      </c>
      <c r="K18" s="101" t="s">
        <v>35</v>
      </c>
      <c r="L18" s="102"/>
      <c r="M18" s="102"/>
      <c r="N18" s="102"/>
      <c r="O18" s="58">
        <f t="shared" si="14"/>
        <v>0</v>
      </c>
      <c r="Q18" s="101" t="s">
        <v>35</v>
      </c>
      <c r="R18" s="102"/>
      <c r="S18" s="102"/>
      <c r="T18" s="102"/>
      <c r="U18" s="58">
        <f t="shared" si="15"/>
        <v>0</v>
      </c>
      <c r="W18" s="101" t="s">
        <v>35</v>
      </c>
      <c r="X18" s="102"/>
      <c r="Y18" s="102"/>
      <c r="Z18" s="102"/>
      <c r="AA18" s="58">
        <f t="shared" si="16"/>
        <v>0</v>
      </c>
    </row>
    <row r="19" spans="2:27" ht="25" customHeight="1" x14ac:dyDescent="0.35">
      <c r="B19" s="48" t="s">
        <v>36</v>
      </c>
      <c r="C19" s="100">
        <f t="shared" si="9"/>
        <v>0</v>
      </c>
      <c r="D19" s="100">
        <f t="shared" si="9"/>
        <v>0</v>
      </c>
      <c r="E19" s="100">
        <f t="shared" si="9"/>
        <v>0</v>
      </c>
      <c r="F19" s="58">
        <f t="shared" si="10"/>
        <v>0</v>
      </c>
      <c r="G19" s="107">
        <f t="shared" si="11"/>
        <v>0</v>
      </c>
      <c r="H19" s="107">
        <f t="shared" si="12"/>
        <v>0</v>
      </c>
      <c r="I19" s="107">
        <f t="shared" si="13"/>
        <v>0</v>
      </c>
      <c r="K19" s="101" t="s">
        <v>36</v>
      </c>
      <c r="L19" s="102"/>
      <c r="M19" s="102"/>
      <c r="N19" s="102"/>
      <c r="O19" s="58">
        <f t="shared" si="14"/>
        <v>0</v>
      </c>
      <c r="Q19" s="101" t="s">
        <v>36</v>
      </c>
      <c r="R19" s="102"/>
      <c r="S19" s="102"/>
      <c r="T19" s="102"/>
      <c r="U19" s="58">
        <f t="shared" si="15"/>
        <v>0</v>
      </c>
      <c r="W19" s="101" t="s">
        <v>36</v>
      </c>
      <c r="X19" s="102"/>
      <c r="Y19" s="102"/>
      <c r="Z19" s="102"/>
      <c r="AA19" s="58">
        <f t="shared" si="16"/>
        <v>0</v>
      </c>
    </row>
    <row r="20" spans="2:27" ht="25" customHeight="1" x14ac:dyDescent="0.35">
      <c r="B20" s="49" t="s">
        <v>53</v>
      </c>
      <c r="C20" s="100">
        <f t="shared" si="9"/>
        <v>0</v>
      </c>
      <c r="D20" s="100">
        <f t="shared" si="9"/>
        <v>0</v>
      </c>
      <c r="E20" s="100">
        <f t="shared" si="9"/>
        <v>0</v>
      </c>
      <c r="F20" s="58">
        <f t="shared" si="10"/>
        <v>0</v>
      </c>
      <c r="G20" s="107">
        <f t="shared" si="11"/>
        <v>0</v>
      </c>
      <c r="H20" s="107">
        <f t="shared" si="12"/>
        <v>0</v>
      </c>
      <c r="I20" s="107">
        <f t="shared" si="13"/>
        <v>0</v>
      </c>
      <c r="K20" s="103" t="s">
        <v>53</v>
      </c>
      <c r="L20" s="102"/>
      <c r="M20" s="102"/>
      <c r="N20" s="102"/>
      <c r="O20" s="58">
        <f t="shared" si="14"/>
        <v>0</v>
      </c>
      <c r="Q20" s="103" t="s">
        <v>53</v>
      </c>
      <c r="R20" s="102"/>
      <c r="S20" s="102"/>
      <c r="T20" s="102"/>
      <c r="U20" s="58">
        <f t="shared" si="15"/>
        <v>0</v>
      </c>
      <c r="W20" s="103" t="s">
        <v>53</v>
      </c>
      <c r="X20" s="102"/>
      <c r="Y20" s="102"/>
      <c r="Z20" s="102"/>
      <c r="AA20" s="58">
        <f t="shared" si="16"/>
        <v>0</v>
      </c>
    </row>
    <row r="21" spans="2:27" ht="25" customHeight="1" x14ac:dyDescent="0.35">
      <c r="B21" s="49" t="s">
        <v>37</v>
      </c>
      <c r="C21" s="100">
        <f t="shared" si="9"/>
        <v>0</v>
      </c>
      <c r="D21" s="100">
        <f t="shared" si="9"/>
        <v>0</v>
      </c>
      <c r="E21" s="100">
        <f t="shared" si="9"/>
        <v>0</v>
      </c>
      <c r="F21" s="58">
        <f t="shared" si="10"/>
        <v>0</v>
      </c>
      <c r="G21" s="107">
        <f t="shared" si="11"/>
        <v>0</v>
      </c>
      <c r="H21" s="107">
        <f t="shared" si="12"/>
        <v>0</v>
      </c>
      <c r="I21" s="107">
        <f t="shared" si="13"/>
        <v>0</v>
      </c>
      <c r="K21" s="103" t="s">
        <v>37</v>
      </c>
      <c r="L21" s="102"/>
      <c r="M21" s="102"/>
      <c r="N21" s="102"/>
      <c r="O21" s="58">
        <f t="shared" si="14"/>
        <v>0</v>
      </c>
      <c r="Q21" s="103" t="s">
        <v>37</v>
      </c>
      <c r="R21" s="102"/>
      <c r="S21" s="102"/>
      <c r="T21" s="102"/>
      <c r="U21" s="58">
        <f t="shared" si="15"/>
        <v>0</v>
      </c>
      <c r="W21" s="103" t="s">
        <v>37</v>
      </c>
      <c r="X21" s="102"/>
      <c r="Y21" s="102"/>
      <c r="Z21" s="102"/>
      <c r="AA21" s="58">
        <f t="shared" si="16"/>
        <v>0</v>
      </c>
    </row>
    <row r="22" spans="2:27" ht="20.149999999999999" customHeight="1" x14ac:dyDescent="0.35">
      <c r="B22" s="60" t="s">
        <v>38</v>
      </c>
      <c r="C22" s="60">
        <f t="shared" ref="C22:I22" si="17">SUM(C15:C21)</f>
        <v>0</v>
      </c>
      <c r="D22" s="60">
        <f t="shared" si="17"/>
        <v>0</v>
      </c>
      <c r="E22" s="60">
        <f t="shared" si="17"/>
        <v>0</v>
      </c>
      <c r="F22" s="60">
        <f t="shared" si="17"/>
        <v>0</v>
      </c>
      <c r="G22" s="108">
        <f t="shared" si="17"/>
        <v>0</v>
      </c>
      <c r="H22" s="108">
        <f t="shared" si="17"/>
        <v>0</v>
      </c>
      <c r="I22" s="108">
        <f t="shared" si="17"/>
        <v>0</v>
      </c>
      <c r="K22" s="109" t="s">
        <v>38</v>
      </c>
      <c r="L22" s="60">
        <f>SUM(L15:L21)</f>
        <v>0</v>
      </c>
      <c r="M22" s="60">
        <f>SUM(M15:M21)</f>
        <v>0</v>
      </c>
      <c r="N22" s="60">
        <f>SUM(N15:N21)</f>
        <v>0</v>
      </c>
      <c r="O22" s="60">
        <f>SUM(O15:O21)</f>
        <v>0</v>
      </c>
      <c r="Q22" s="109" t="s">
        <v>38</v>
      </c>
      <c r="R22" s="60">
        <f>SUM(R15:R21)</f>
        <v>0</v>
      </c>
      <c r="S22" s="60">
        <f>SUM(S15:S21)</f>
        <v>0</v>
      </c>
      <c r="T22" s="60">
        <f>SUM(T15:T21)</f>
        <v>0</v>
      </c>
      <c r="U22" s="60">
        <f>SUM(U15:U21)</f>
        <v>0</v>
      </c>
      <c r="W22" s="109" t="s">
        <v>38</v>
      </c>
      <c r="X22" s="60">
        <f>SUM(X15:X21)</f>
        <v>0</v>
      </c>
      <c r="Y22" s="60">
        <f>SUM(Y15:Y21)</f>
        <v>0</v>
      </c>
      <c r="Z22" s="60">
        <f>SUM(Z15:Z21)</f>
        <v>0</v>
      </c>
      <c r="AA22" s="60">
        <f>SUM(AA15:AA21)</f>
        <v>0</v>
      </c>
    </row>
    <row r="23" spans="2:27" ht="20.149999999999999" customHeight="1" x14ac:dyDescent="0.35">
      <c r="B23" s="62" t="s">
        <v>40</v>
      </c>
      <c r="C23" s="63">
        <f t="shared" ref="C23:I23" si="18">C22+C12</f>
        <v>0</v>
      </c>
      <c r="D23" s="63">
        <f t="shared" si="18"/>
        <v>0</v>
      </c>
      <c r="E23" s="63">
        <f t="shared" si="18"/>
        <v>0</v>
      </c>
      <c r="F23" s="63">
        <f t="shared" si="18"/>
        <v>0</v>
      </c>
      <c r="G23" s="107">
        <f t="shared" si="18"/>
        <v>0</v>
      </c>
      <c r="H23" s="107">
        <f t="shared" si="18"/>
        <v>0</v>
      </c>
      <c r="I23" s="107">
        <f t="shared" si="18"/>
        <v>0</v>
      </c>
      <c r="K23" s="110" t="s">
        <v>40</v>
      </c>
      <c r="L23" s="63">
        <f>L22+L12</f>
        <v>0</v>
      </c>
      <c r="M23" s="63">
        <f>M22+M12</f>
        <v>0</v>
      </c>
      <c r="N23" s="63">
        <f>N22+N12</f>
        <v>0</v>
      </c>
      <c r="O23" s="63">
        <f>O22+O12</f>
        <v>0</v>
      </c>
      <c r="Q23" s="110" t="s">
        <v>40</v>
      </c>
      <c r="R23" s="63">
        <f>R22+R12</f>
        <v>0</v>
      </c>
      <c r="S23" s="63">
        <f>S22+S12</f>
        <v>0</v>
      </c>
      <c r="T23" s="63">
        <f>T22+T12</f>
        <v>0</v>
      </c>
      <c r="U23" s="63">
        <f>U22+U12</f>
        <v>0</v>
      </c>
      <c r="W23" s="110" t="s">
        <v>40</v>
      </c>
      <c r="X23" s="63">
        <f>X12+X22</f>
        <v>0</v>
      </c>
      <c r="Y23" s="63">
        <f>Y12+Y22</f>
        <v>0</v>
      </c>
      <c r="Z23" s="63">
        <f>Z12+Z22</f>
        <v>0</v>
      </c>
      <c r="AA23" s="63">
        <f>AA12+AA22</f>
        <v>0</v>
      </c>
    </row>
    <row r="24" spans="2:27" ht="20.149999999999999" customHeight="1" x14ac:dyDescent="0.35">
      <c r="B24" s="62" t="s">
        <v>41</v>
      </c>
      <c r="C24" s="63">
        <f t="shared" ref="C24:I24" si="19">0.07*C23</f>
        <v>0</v>
      </c>
      <c r="D24" s="63">
        <f t="shared" si="19"/>
        <v>0</v>
      </c>
      <c r="E24" s="63">
        <f t="shared" si="19"/>
        <v>0</v>
      </c>
      <c r="F24" s="63">
        <f t="shared" si="19"/>
        <v>0</v>
      </c>
      <c r="G24" s="107">
        <f t="shared" si="19"/>
        <v>0</v>
      </c>
      <c r="H24" s="107">
        <f t="shared" si="19"/>
        <v>0</v>
      </c>
      <c r="I24" s="107">
        <f t="shared" si="19"/>
        <v>0</v>
      </c>
      <c r="K24" s="110" t="s">
        <v>41</v>
      </c>
      <c r="L24" s="63">
        <f>0.07*L23</f>
        <v>0</v>
      </c>
      <c r="M24" s="63">
        <f>0.07*M23</f>
        <v>0</v>
      </c>
      <c r="N24" s="63">
        <f>0.07*N23</f>
        <v>0</v>
      </c>
      <c r="O24" s="63">
        <f>0.07*O23</f>
        <v>0</v>
      </c>
      <c r="Q24" s="110" t="s">
        <v>41</v>
      </c>
      <c r="R24" s="63">
        <f>0.07*R23</f>
        <v>0</v>
      </c>
      <c r="S24" s="63">
        <f>0.07*S23</f>
        <v>0</v>
      </c>
      <c r="T24" s="63">
        <f>0.07*T23</f>
        <v>0</v>
      </c>
      <c r="U24" s="63">
        <f>0.07*U23</f>
        <v>0</v>
      </c>
      <c r="W24" s="110" t="s">
        <v>41</v>
      </c>
      <c r="X24" s="63">
        <f>0.07*X23</f>
        <v>0</v>
      </c>
      <c r="Y24" s="63">
        <f>0.07*Y23</f>
        <v>0</v>
      </c>
      <c r="Z24" s="63">
        <f>0.07*Z23</f>
        <v>0</v>
      </c>
      <c r="AA24" s="63">
        <f>0.07*AA23</f>
        <v>0</v>
      </c>
    </row>
    <row r="25" spans="2:27" ht="20.149999999999999" customHeight="1" x14ac:dyDescent="0.35">
      <c r="B25" s="64" t="s">
        <v>42</v>
      </c>
      <c r="C25" s="111">
        <f>C23+C24</f>
        <v>0</v>
      </c>
      <c r="D25" s="111">
        <f>D23+D24</f>
        <v>0</v>
      </c>
      <c r="E25" s="111">
        <f>E23+E24</f>
        <v>0</v>
      </c>
      <c r="F25" s="111">
        <f>F23+F24</f>
        <v>0</v>
      </c>
      <c r="G25" s="112">
        <f>SUM(G23:G24)</f>
        <v>0</v>
      </c>
      <c r="H25" s="112">
        <f>SUM(H23:H24)</f>
        <v>0</v>
      </c>
      <c r="I25" s="112">
        <f>SUM(I23:I24)</f>
        <v>0</v>
      </c>
      <c r="K25" s="113" t="s">
        <v>42</v>
      </c>
      <c r="L25" s="111">
        <f>SUM(L23:L24)</f>
        <v>0</v>
      </c>
      <c r="M25" s="111">
        <f>SUM(M23:M24)</f>
        <v>0</v>
      </c>
      <c r="N25" s="111">
        <f>SUM(N23:N24)</f>
        <v>0</v>
      </c>
      <c r="O25" s="111">
        <f>SUM(O23:O24)</f>
        <v>0</v>
      </c>
      <c r="Q25" s="113" t="s">
        <v>42</v>
      </c>
      <c r="R25" s="111">
        <f>SUM(R23:R24)</f>
        <v>0</v>
      </c>
      <c r="S25" s="111">
        <f>SUM(S23:S24)</f>
        <v>0</v>
      </c>
      <c r="T25" s="111">
        <f>SUM(T23:T24)</f>
        <v>0</v>
      </c>
      <c r="U25" s="111">
        <f>SUM(U23:U24)</f>
        <v>0</v>
      </c>
      <c r="W25" s="113" t="s">
        <v>42</v>
      </c>
      <c r="X25" s="111">
        <f>SUM(X23:X24)</f>
        <v>0</v>
      </c>
      <c r="Y25" s="111">
        <f>SUM(Y23:Y24)</f>
        <v>0</v>
      </c>
      <c r="Z25" s="111">
        <f>SUM(Z23:Z24)</f>
        <v>0</v>
      </c>
      <c r="AA25" s="111">
        <f>SUM(AA23:AA24)</f>
        <v>0</v>
      </c>
    </row>
    <row r="26" spans="2:27" x14ac:dyDescent="0.35">
      <c r="C26" s="8"/>
      <c r="D26" s="8"/>
      <c r="E26" s="8"/>
      <c r="F26" s="8"/>
      <c r="G26" s="7"/>
      <c r="H26" s="7"/>
    </row>
    <row r="27" spans="2:27" x14ac:dyDescent="0.35">
      <c r="C27" s="8"/>
      <c r="D27" s="8"/>
      <c r="E27" s="8"/>
      <c r="F27" s="8"/>
      <c r="G27" s="6"/>
      <c r="H27" s="6"/>
    </row>
  </sheetData>
  <mergeCells count="9">
    <mergeCell ref="B13:I13"/>
    <mergeCell ref="K13:O13"/>
    <mergeCell ref="Q13:U13"/>
    <mergeCell ref="W13:AA13"/>
    <mergeCell ref="B2:I2"/>
    <mergeCell ref="B3:I3"/>
    <mergeCell ref="K3:O3"/>
    <mergeCell ref="Q3:U3"/>
    <mergeCell ref="W3:AA3"/>
  </mergeCells>
  <printOptions horizontalCentered="1"/>
  <pageMargins left="0.23622047244094491" right="0.23622047244094491" top="0.74803149606299213" bottom="0.74803149606299213" header="0.31496062992125984" footer="0.31496062992125984"/>
  <pageSetup paperSize="8" scale="74" fitToHeight="13"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H20"/>
  <sheetViews>
    <sheetView showGridLines="0" zoomScaleNormal="100" zoomScaleSheetLayoutView="75" workbookViewId="0">
      <selection activeCell="H15" sqref="H15"/>
    </sheetView>
  </sheetViews>
  <sheetFormatPr defaultColWidth="23.7265625" defaultRowHeight="14.5" x14ac:dyDescent="0.35"/>
  <cols>
    <col min="1" max="1" width="2.7265625" style="1" customWidth="1"/>
    <col min="2" max="2" width="46" style="2" customWidth="1"/>
    <col min="3" max="3" width="13.26953125" style="1" customWidth="1"/>
    <col min="4" max="5" width="12.26953125" style="1" customWidth="1"/>
    <col min="6" max="6" width="12.81640625" style="1" customWidth="1"/>
    <col min="7" max="16384" width="23.7265625" style="1"/>
  </cols>
  <sheetData>
    <row r="2" spans="2:8" ht="24.75" customHeight="1" thickBot="1" x14ac:dyDescent="0.4">
      <c r="B2" s="508" t="s">
        <v>54</v>
      </c>
      <c r="C2" s="508"/>
      <c r="D2" s="508"/>
      <c r="E2" s="508"/>
      <c r="F2" s="508"/>
    </row>
    <row r="3" spans="2:8" ht="33" customHeight="1" x14ac:dyDescent="0.35">
      <c r="B3" s="505" t="s">
        <v>30</v>
      </c>
      <c r="C3" s="506"/>
      <c r="D3" s="506"/>
      <c r="E3" s="506"/>
      <c r="F3" s="507"/>
      <c r="G3" s="4"/>
      <c r="H3" s="4"/>
    </row>
    <row r="4" spans="2:8" ht="20.149999999999999" customHeight="1" x14ac:dyDescent="0.35">
      <c r="B4" s="51" t="s">
        <v>31</v>
      </c>
      <c r="C4" s="51">
        <v>2018</v>
      </c>
      <c r="D4" s="52" t="s">
        <v>2</v>
      </c>
      <c r="E4" s="53" t="s">
        <v>3</v>
      </c>
      <c r="F4" s="52" t="s">
        <v>4</v>
      </c>
      <c r="G4" s="5"/>
      <c r="H4" s="3"/>
    </row>
    <row r="5" spans="2:8" ht="20.149999999999999" customHeight="1" x14ac:dyDescent="0.35">
      <c r="B5" s="48" t="s">
        <v>32</v>
      </c>
      <c r="C5" s="54" t="e">
        <f>'Cote d''Ivoire'!F7+'Rep of Congo'!F7+Zambia!F7+Indonesia!F7+Myanmar!F7+'Viet Nam'!F7+'Landscapes Approach'!F7+'Tenure &amp; IP Rights'!F7+NFMS!C22+#REF!+'Cross cutting &amp; comms'!F7</f>
        <v>#REF!</v>
      </c>
      <c r="D5" s="55" t="e">
        <f>C5-100000</f>
        <v>#REF!</v>
      </c>
      <c r="E5" s="55"/>
      <c r="F5" s="55">
        <f>[4]Africa!G5+[4]Asia!F5+[4]LAC!F5+'[4]Global Com'!F5</f>
        <v>100000</v>
      </c>
      <c r="G5" s="5"/>
      <c r="H5" s="3"/>
    </row>
    <row r="6" spans="2:8" ht="20.149999999999999" customHeight="1" x14ac:dyDescent="0.35">
      <c r="B6" s="48" t="s">
        <v>36</v>
      </c>
      <c r="C6" s="54" t="e">
        <f>'Cote d''Ivoire'!F8+'Rep of Congo'!F9+Zambia!F8+Indonesia!F8+Myanmar!F8+'Viet Nam'!F8+'Landscapes Approach'!F8+'Tenure &amp; IP Rights'!F8+NFMS!C23+#REF!+'Cross cutting &amp; comms'!F8</f>
        <v>#REF!</v>
      </c>
      <c r="D6" s="55" t="e">
        <f>C6-50000</f>
        <v>#REF!</v>
      </c>
      <c r="E6" s="55"/>
      <c r="F6" s="55">
        <f>[4]Africa!G9+[4]Asia!F9+[4]LAC!F9+'[4]Global Com'!F9</f>
        <v>50000</v>
      </c>
      <c r="G6" s="5"/>
      <c r="H6" s="3"/>
    </row>
    <row r="7" spans="2:8" ht="20.149999999999999" customHeight="1" x14ac:dyDescent="0.35">
      <c r="B7" s="49" t="s">
        <v>37</v>
      </c>
      <c r="C7" s="54" t="e">
        <f>'Cote d''Ivoire'!F9+'Rep of Congo'!F10+Zambia!F9+Indonesia!F9+Myanmar!F9+'Viet Nam'!F9+'Landscapes Approach'!F9+'Tenure &amp; IP Rights'!F9+NFMS!C24+#REF!+'Cross cutting &amp; comms'!F9</f>
        <v>#REF!</v>
      </c>
      <c r="D7" s="55" t="e">
        <f>C7-50000</f>
        <v>#REF!</v>
      </c>
      <c r="E7" s="55"/>
      <c r="F7" s="55">
        <f>[4]Africa!G11+[4]Asia!F11+[4]LAC!F11+'[4]Global Com'!F11</f>
        <v>50000</v>
      </c>
      <c r="G7" s="5"/>
      <c r="H7" s="3"/>
    </row>
    <row r="8" spans="2:8" ht="20.149999999999999" customHeight="1" x14ac:dyDescent="0.35">
      <c r="B8" s="56" t="s">
        <v>38</v>
      </c>
      <c r="C8" s="57" t="e">
        <f>SUM(C5:C7)</f>
        <v>#REF!</v>
      </c>
      <c r="D8" s="57" t="e">
        <f>SUM(D5:D7)</f>
        <v>#REF!</v>
      </c>
      <c r="E8" s="57"/>
      <c r="F8" s="57">
        <f>SUM(F5:F7)</f>
        <v>200000</v>
      </c>
      <c r="G8" s="3"/>
    </row>
    <row r="9" spans="2:8" ht="28.5" customHeight="1" x14ac:dyDescent="0.35">
      <c r="B9" s="501" t="s">
        <v>39</v>
      </c>
      <c r="C9" s="502"/>
      <c r="D9" s="502"/>
      <c r="E9" s="502"/>
      <c r="F9" s="503"/>
    </row>
    <row r="10" spans="2:8" ht="20.149999999999999" customHeight="1" x14ac:dyDescent="0.35">
      <c r="B10" s="51" t="s">
        <v>31</v>
      </c>
      <c r="C10" s="51">
        <v>2018</v>
      </c>
      <c r="D10" s="52" t="s">
        <v>2</v>
      </c>
      <c r="E10" s="53" t="s">
        <v>3</v>
      </c>
      <c r="F10" s="52" t="s">
        <v>4</v>
      </c>
    </row>
    <row r="11" spans="2:8" ht="20.149999999999999" customHeight="1" x14ac:dyDescent="0.35">
      <c r="B11" s="48" t="s">
        <v>32</v>
      </c>
      <c r="C11" s="58" t="e">
        <f>'Cote d''Ivoire'!F50+'Rep of Congo'!F15+Zambia!#REF!+Indonesia!#REF!+Myanmar!#REF!+'Viet Nam'!#REF!+Colombia!#REF!+Mexico!#REF!+#REF!+'Landscapes Approach'!E42+'Tenure &amp; IP Rights'!E40+'Financing &amp; Private Sector'!C21+#REF!+#REF!+'Cross cutting &amp; comms'!C39</f>
        <v>#REF!</v>
      </c>
      <c r="D11" s="59" t="e">
        <f>'Cote d''Ivoire'!C50+'Rep of Congo'!F15+Zambia!#REF!+Indonesia!#REF!+Myanmar!#REF!+'Viet Nam'!#REF!+Colombia!#REF!+Mexico!#REF!+#REF!+'Landscapes Approach'!C42+'Tenure &amp; IP Rights'!C40</f>
        <v>#REF!</v>
      </c>
      <c r="E11" s="59" t="e">
        <f>'Cote d''Ivoire'!D41+Zambia!D41+Indonesia!D38+Myanmar!D33+'Viet Nam'!D29+Colombia!#REF!+Mexico!#REF!+#REF!+'Tenure &amp; IP Rights'!D30+#REF!+#REF!</f>
        <v>#REF!</v>
      </c>
      <c r="F11" s="59" t="e">
        <f>'Cote d''Ivoire'!E50+Zambia!#REF!+Indonesia!#REF!+Myanmar!#REF!+Colombia!#REF!+Mexico!#REF!+#REF!+'Landscapes Approach'!D42+'Financing &amp; Private Sector'!C21+'Cross cutting &amp; comms'!C39</f>
        <v>#REF!</v>
      </c>
      <c r="G11" s="6"/>
    </row>
    <row r="12" spans="2:8" ht="20.149999999999999" customHeight="1" x14ac:dyDescent="0.35">
      <c r="B12" s="48" t="s">
        <v>35</v>
      </c>
      <c r="C12" s="58">
        <f>'Cross cutting &amp; comms'!C42</f>
        <v>30000</v>
      </c>
      <c r="D12" s="59"/>
      <c r="E12" s="59"/>
      <c r="F12" s="59">
        <f>'Cross cutting &amp; comms'!C42</f>
        <v>30000</v>
      </c>
    </row>
    <row r="13" spans="2:8" ht="20.149999999999999" customHeight="1" x14ac:dyDescent="0.35">
      <c r="B13" s="48" t="s">
        <v>36</v>
      </c>
      <c r="C13" s="58" t="e">
        <f>'Cote d''Ivoire'!F51+'Rep of Congo'!F16+Zambia!#REF!+Indonesia!#REF!+Myanmar!#REF!+'Viet Nam'!#REF!+Colombia!#REF!+Mexico!#REF!+#REF!+'Landscapes Approach'!E43+'Tenure &amp; IP Rights'!E41+'Financing &amp; Private Sector'!C22+#REF!+#REF!+'Cross cutting &amp; comms'!C40</f>
        <v>#REF!</v>
      </c>
      <c r="D13" s="59" t="e">
        <f>'Cote d''Ivoire'!C51+'Rep of Congo'!F16+Zambia!#REF!+Indonesia!#REF!+Myanmar!#REF!+'Viet Nam'!#REF!+Colombia!#REF!+Mexico!#REF!+#REF!+'Landscapes Approach'!C43+'Tenure &amp; IP Rights'!C41</f>
        <v>#REF!</v>
      </c>
      <c r="E13" s="59" t="e">
        <f>'Cote d''Ivoire'!D42+Zambia!D42+Indonesia!D39+Myanmar!D34+'Viet Nam'!D30+Colombia!#REF!+Mexico!#REF!+#REF!+'Tenure &amp; IP Rights'!D31+#REF!+#REF!</f>
        <v>#REF!</v>
      </c>
      <c r="F13" s="59" t="e">
        <f>'Cote d''Ivoire'!E51+Zambia!#REF!+Indonesia!#REF!+Myanmar!#REF!+Colombia!#REF!+Mexico!#REF!+#REF!+'Landscapes Approach'!D43+'Financing &amp; Private Sector'!C22+'Cross cutting &amp; comms'!C40</f>
        <v>#REF!</v>
      </c>
      <c r="G13" s="6"/>
    </row>
    <row r="14" spans="2:8" ht="20.149999999999999" customHeight="1" x14ac:dyDescent="0.35">
      <c r="B14" s="49" t="s">
        <v>37</v>
      </c>
      <c r="C14" s="58" t="e">
        <f>'Cote d''Ivoire'!F52+'Rep of Congo'!F17+Zambia!#REF!+Indonesia!#REF!+Myanmar!#REF!+'Viet Nam'!#REF!+Colombia!#REF!+Mexico!#REF!+#REF!+'Landscapes Approach'!E44+'Tenure &amp; IP Rights'!E42+#REF!+#REF!+'Cross cutting &amp; comms'!C41</f>
        <v>#REF!</v>
      </c>
      <c r="D14" s="59" t="e">
        <f>'Cote d''Ivoire'!C52+'Rep of Congo'!F17+Zambia!#REF!+Indonesia!#REF!+Myanmar!#REF!+'Viet Nam'!#REF!+Colombia!#REF!+Mexico!#REF!+#REF!+'Landscapes Approach'!C44+'Tenure &amp; IP Rights'!C42</f>
        <v>#REF!</v>
      </c>
      <c r="E14" s="59" t="e">
        <f>'Cote d''Ivoire'!D43+Zambia!D43+Indonesia!D40+Myanmar!D35+'Viet Nam'!D31+Colombia!#REF!+Mexico!#REF!+#REF!+'Tenure &amp; IP Rights'!D32+#REF!+#REF!</f>
        <v>#REF!</v>
      </c>
      <c r="F14" s="59" t="e">
        <f>'Cote d''Ivoire'!E52+Zambia!#REF!+Indonesia!#REF!+Myanmar!#REF!+Colombia!#REF!+Mexico!#REF!+#REF!+'Landscapes Approach'!D44+'Cross cutting &amp; comms'!C41</f>
        <v>#REF!</v>
      </c>
      <c r="G14" s="6"/>
    </row>
    <row r="15" spans="2:8" ht="20.149999999999999" customHeight="1" x14ac:dyDescent="0.35">
      <c r="B15" s="60" t="s">
        <v>38</v>
      </c>
      <c r="C15" s="61" t="e">
        <f>SUM(C11:C14)</f>
        <v>#REF!</v>
      </c>
      <c r="D15" s="61" t="e">
        <f>SUM(D11:D14)</f>
        <v>#REF!</v>
      </c>
      <c r="E15" s="61" t="e">
        <f>SUM(E11:E14)</f>
        <v>#REF!</v>
      </c>
      <c r="F15" s="61" t="e">
        <f>SUM(F11:F14)</f>
        <v>#REF!</v>
      </c>
      <c r="G15" s="6"/>
    </row>
    <row r="16" spans="2:8" ht="20.149999999999999" customHeight="1" x14ac:dyDescent="0.35">
      <c r="B16" s="62" t="s">
        <v>40</v>
      </c>
      <c r="C16" s="63" t="e">
        <f>C15+C8</f>
        <v>#REF!</v>
      </c>
      <c r="D16" s="63" t="e">
        <f>D15+D8</f>
        <v>#REF!</v>
      </c>
      <c r="E16" s="63" t="e">
        <f>E15+E8</f>
        <v>#REF!</v>
      </c>
      <c r="F16" s="63" t="e">
        <f>F15+F8</f>
        <v>#REF!</v>
      </c>
      <c r="G16" s="6"/>
    </row>
    <row r="17" spans="2:7" ht="20.149999999999999" customHeight="1" x14ac:dyDescent="0.35">
      <c r="B17" s="62" t="s">
        <v>41</v>
      </c>
      <c r="C17" s="63" t="e">
        <f>0.07*C16</f>
        <v>#REF!</v>
      </c>
      <c r="D17" s="63" t="e">
        <f>0.07*D16</f>
        <v>#REF!</v>
      </c>
      <c r="E17" s="63" t="e">
        <f>0.07*E16</f>
        <v>#REF!</v>
      </c>
      <c r="F17" s="63" t="e">
        <f>0.07*F16</f>
        <v>#REF!</v>
      </c>
      <c r="G17" s="6"/>
    </row>
    <row r="18" spans="2:7" ht="20.149999999999999" customHeight="1" x14ac:dyDescent="0.35">
      <c r="B18" s="64" t="s">
        <v>42</v>
      </c>
      <c r="C18" s="65" t="e">
        <f>SUM(C16:C17)</f>
        <v>#REF!</v>
      </c>
      <c r="D18" s="65" t="e">
        <f>SUM(D16:D17)</f>
        <v>#REF!</v>
      </c>
      <c r="E18" s="65" t="e">
        <f>SUM(E16:E17)</f>
        <v>#REF!</v>
      </c>
      <c r="F18" s="65" t="e">
        <f>SUM(F16:F17)</f>
        <v>#REF!</v>
      </c>
      <c r="G18" s="6"/>
    </row>
    <row r="20" spans="2:7" x14ac:dyDescent="0.35">
      <c r="E20" s="6"/>
    </row>
  </sheetData>
  <mergeCells count="3">
    <mergeCell ref="B3:F3"/>
    <mergeCell ref="B9:F9"/>
    <mergeCell ref="B2:F2"/>
  </mergeCells>
  <printOptions horizontalCentered="1"/>
  <pageMargins left="0.23622047244094491" right="0.23622047244094491" top="0.74803149606299213" bottom="0.74803149606299213" header="0.31496062992125984" footer="0.31496062992125984"/>
  <pageSetup paperSize="8" scale="74" fitToHeight="13" orientation="landscape" horizontalDpi="300" verticalDpi="300"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G33"/>
  <sheetViews>
    <sheetView showGridLines="0" zoomScaleNormal="100" workbookViewId="0">
      <selection activeCell="J26" sqref="J26"/>
    </sheetView>
  </sheetViews>
  <sheetFormatPr defaultColWidth="9.1796875" defaultRowHeight="14.5" x14ac:dyDescent="0.35"/>
  <cols>
    <col min="1" max="1" width="9.1796875" style="16"/>
    <col min="2" max="2" width="34.26953125" style="16" customWidth="1"/>
    <col min="3" max="3" width="12.54296875" style="16" customWidth="1"/>
    <col min="4" max="4" width="12.7265625" style="16" customWidth="1"/>
    <col min="5" max="5" width="12.453125" style="16" customWidth="1"/>
    <col min="6" max="6" width="13.453125" style="16" customWidth="1"/>
    <col min="7" max="7" width="14.54296875" style="16" customWidth="1"/>
    <col min="8" max="16384" width="9.1796875" style="16"/>
  </cols>
  <sheetData>
    <row r="2" spans="2:7" ht="15" thickBot="1" x14ac:dyDescent="0.4">
      <c r="B2" s="94" t="s">
        <v>55</v>
      </c>
      <c r="C2" s="95"/>
      <c r="D2" s="95"/>
      <c r="E2" s="95"/>
      <c r="F2" s="95"/>
    </row>
    <row r="3" spans="2:7" x14ac:dyDescent="0.35">
      <c r="B3" s="509" t="s">
        <v>0</v>
      </c>
      <c r="C3" s="511">
        <v>2018</v>
      </c>
      <c r="D3" s="512"/>
      <c r="E3" s="512"/>
      <c r="F3" s="513"/>
    </row>
    <row r="4" spans="2:7" x14ac:dyDescent="0.35">
      <c r="B4" s="510"/>
      <c r="C4" s="66" t="s">
        <v>2</v>
      </c>
      <c r="D4" s="66" t="s">
        <v>3</v>
      </c>
      <c r="E4" s="67" t="s">
        <v>4</v>
      </c>
      <c r="F4" s="66" t="s">
        <v>1</v>
      </c>
    </row>
    <row r="5" spans="2:7" x14ac:dyDescent="0.35">
      <c r="B5" s="68" t="s">
        <v>5</v>
      </c>
      <c r="C5" s="69" t="e">
        <f>C6+C10+C14</f>
        <v>#REF!</v>
      </c>
      <c r="D5" s="69" t="e">
        <f>D6+D10+D14</f>
        <v>#REF!</v>
      </c>
      <c r="E5" s="70" t="e">
        <f>E6+E10+E14</f>
        <v>#REF!</v>
      </c>
      <c r="F5" s="69" t="e">
        <f>F6+F10+F14</f>
        <v>#REF!</v>
      </c>
      <c r="G5" s="26"/>
    </row>
    <row r="6" spans="2:7" x14ac:dyDescent="0.35">
      <c r="B6" s="71" t="s">
        <v>6</v>
      </c>
      <c r="C6" s="72">
        <f>SUM(C7:C9)</f>
        <v>660336.17367055023</v>
      </c>
      <c r="D6" s="72">
        <f>SUM(D7:D9)</f>
        <v>402241.67</v>
      </c>
      <c r="E6" s="73">
        <f>SUM(E7:E9)</f>
        <v>189300</v>
      </c>
      <c r="F6" s="72">
        <f>SUM(F7:F9)</f>
        <v>1251877.8436705503</v>
      </c>
      <c r="G6" s="26"/>
    </row>
    <row r="7" spans="2:7" x14ac:dyDescent="0.35">
      <c r="B7" s="74" t="s">
        <v>7</v>
      </c>
      <c r="C7" s="75">
        <f>'Cote d''Ivoire'!$C$44</f>
        <v>202401.95069516427</v>
      </c>
      <c r="D7" s="75">
        <f>'Cote d''Ivoire'!$D$44</f>
        <v>374708.67</v>
      </c>
      <c r="E7" s="76">
        <f>'Cote d''Ivoire'!$E$44</f>
        <v>95000</v>
      </c>
      <c r="F7" s="75">
        <f>SUM(C7:E7)</f>
        <v>672110.62069516419</v>
      </c>
    </row>
    <row r="8" spans="2:7" x14ac:dyDescent="0.35">
      <c r="B8" s="74" t="s">
        <v>8</v>
      </c>
      <c r="C8" s="75">
        <f>'Rep of Congo'!$F$20</f>
        <v>240352.22297538599</v>
      </c>
      <c r="D8" s="75"/>
      <c r="E8" s="76"/>
      <c r="F8" s="75">
        <f>SUM(C8:E8)</f>
        <v>240352.22297538599</v>
      </c>
    </row>
    <row r="9" spans="2:7" x14ac:dyDescent="0.35">
      <c r="B9" s="74" t="s">
        <v>9</v>
      </c>
      <c r="C9" s="75">
        <f>Zambia!$C$44</f>
        <v>217582</v>
      </c>
      <c r="D9" s="75">
        <f>Zambia!$D$44</f>
        <v>27533</v>
      </c>
      <c r="E9" s="76">
        <f>Zambia!$E$44</f>
        <v>94300</v>
      </c>
      <c r="F9" s="75">
        <f>SUM(C9:E9)</f>
        <v>339415</v>
      </c>
    </row>
    <row r="10" spans="2:7" x14ac:dyDescent="0.35">
      <c r="B10" s="77" t="s">
        <v>10</v>
      </c>
      <c r="C10" s="78">
        <f>SUM(C11:C13)</f>
        <v>834907.08446736203</v>
      </c>
      <c r="D10" s="78">
        <f>SUM(D11:D13)</f>
        <v>539798.65</v>
      </c>
      <c r="E10" s="79">
        <f>SUM(E11:E13)</f>
        <v>231000</v>
      </c>
      <c r="F10" s="78">
        <f>SUM(F11:F13)</f>
        <v>1605705.7344673621</v>
      </c>
    </row>
    <row r="11" spans="2:7" x14ac:dyDescent="0.35">
      <c r="B11" s="74" t="s">
        <v>11</v>
      </c>
      <c r="C11" s="75">
        <f>Indonesia!$C$41</f>
        <v>442754</v>
      </c>
      <c r="D11" s="75">
        <f>Indonesia!$D$41</f>
        <v>207110.49</v>
      </c>
      <c r="E11" s="76">
        <f>Indonesia!$E$41</f>
        <v>185000</v>
      </c>
      <c r="F11" s="75">
        <f>SUM(C11:E11)</f>
        <v>834864.49</v>
      </c>
    </row>
    <row r="12" spans="2:7" x14ac:dyDescent="0.35">
      <c r="B12" s="74" t="s">
        <v>12</v>
      </c>
      <c r="C12" s="75">
        <f>Myanmar!$C$36</f>
        <v>189751.49287153597</v>
      </c>
      <c r="D12" s="75">
        <f>Myanmar!$D$36</f>
        <v>163707.78</v>
      </c>
      <c r="E12" s="76">
        <f>Myanmar!$E$36</f>
        <v>46000</v>
      </c>
      <c r="F12" s="75">
        <f>SUM(C12:E12)</f>
        <v>399459.27287153597</v>
      </c>
    </row>
    <row r="13" spans="2:7" x14ac:dyDescent="0.35">
      <c r="B13" s="74" t="s">
        <v>13</v>
      </c>
      <c r="C13" s="75">
        <f>'Viet Nam'!$C$32</f>
        <v>202401.59159582609</v>
      </c>
      <c r="D13" s="75">
        <f>'Viet Nam'!$D$32</f>
        <v>168980.38</v>
      </c>
      <c r="E13" s="76"/>
      <c r="F13" s="75">
        <f>SUM(C13:E13)</f>
        <v>371381.97159582609</v>
      </c>
    </row>
    <row r="14" spans="2:7" x14ac:dyDescent="0.35">
      <c r="B14" s="77" t="s">
        <v>14</v>
      </c>
      <c r="C14" s="78" t="e">
        <f>SUM(C15:C17)</f>
        <v>#REF!</v>
      </c>
      <c r="D14" s="78" t="e">
        <f>SUM(D15:D17)</f>
        <v>#REF!</v>
      </c>
      <c r="E14" s="79" t="e">
        <f>SUM(E15:E17)</f>
        <v>#REF!</v>
      </c>
      <c r="F14" s="78" t="e">
        <f>SUM(F15:F17)</f>
        <v>#REF!</v>
      </c>
    </row>
    <row r="15" spans="2:7" x14ac:dyDescent="0.35">
      <c r="B15" s="74" t="s">
        <v>15</v>
      </c>
      <c r="C15" s="75" t="e">
        <f>Colombia!#REF!</f>
        <v>#REF!</v>
      </c>
      <c r="D15" s="75" t="e">
        <f>Colombia!#REF!</f>
        <v>#REF!</v>
      </c>
      <c r="E15" s="76" t="e">
        <f>Colombia!#REF!</f>
        <v>#REF!</v>
      </c>
      <c r="F15" s="75" t="e">
        <f>SUM(C15:E15)</f>
        <v>#REF!</v>
      </c>
    </row>
    <row r="16" spans="2:7" x14ac:dyDescent="0.35">
      <c r="B16" s="74" t="s">
        <v>16</v>
      </c>
      <c r="C16" s="75" t="e">
        <f>Mexico!#REF!</f>
        <v>#REF!</v>
      </c>
      <c r="D16" s="75" t="e">
        <f>Mexico!#REF!</f>
        <v>#REF!</v>
      </c>
      <c r="E16" s="76" t="e">
        <f>Mexico!#REF!</f>
        <v>#REF!</v>
      </c>
      <c r="F16" s="75" t="e">
        <f>SUM(C16:E16)</f>
        <v>#REF!</v>
      </c>
    </row>
    <row r="17" spans="2:7" x14ac:dyDescent="0.35">
      <c r="B17" s="74" t="s">
        <v>17</v>
      </c>
      <c r="C17" s="75" t="e">
        <f>#REF!</f>
        <v>#REF!</v>
      </c>
      <c r="D17" s="75" t="e">
        <f>#REF!</f>
        <v>#REF!</v>
      </c>
      <c r="E17" s="80" t="e">
        <f>#REF!</f>
        <v>#REF!</v>
      </c>
      <c r="F17" s="75" t="e">
        <f>SUM(C17:E17)</f>
        <v>#REF!</v>
      </c>
    </row>
    <row r="18" spans="2:7" x14ac:dyDescent="0.35">
      <c r="B18" s="81" t="s">
        <v>18</v>
      </c>
      <c r="C18" s="82" t="e">
        <f>SUM(C19:C25)</f>
        <v>#REF!</v>
      </c>
      <c r="D18" s="82" t="e">
        <f>SUM(D19:D25)</f>
        <v>#REF!</v>
      </c>
      <c r="E18" s="83">
        <f>SUM(E19:E25)</f>
        <v>0</v>
      </c>
      <c r="F18" s="82" t="e">
        <f>SUM(F19:F25)</f>
        <v>#REF!</v>
      </c>
      <c r="G18" s="26"/>
    </row>
    <row r="19" spans="2:7" x14ac:dyDescent="0.35">
      <c r="B19" s="74" t="s">
        <v>19</v>
      </c>
      <c r="C19" s="84">
        <f>'Landscapes Approach'!$C$36</f>
        <v>210151.95502079604</v>
      </c>
      <c r="D19" s="84"/>
      <c r="E19" s="85">
        <f>'Landscapes Approach'!$D$45</f>
        <v>0</v>
      </c>
      <c r="F19" s="84">
        <f t="shared" ref="F19:F25" si="0">SUM(C19:E19)</f>
        <v>210151.95502079604</v>
      </c>
    </row>
    <row r="20" spans="2:7" x14ac:dyDescent="0.35">
      <c r="B20" s="74" t="s">
        <v>20</v>
      </c>
      <c r="C20" s="84"/>
      <c r="D20" s="84"/>
      <c r="E20" s="85">
        <f>'Financing &amp; Private Sector'!$C$24</f>
        <v>0</v>
      </c>
      <c r="F20" s="84">
        <f t="shared" si="0"/>
        <v>0</v>
      </c>
    </row>
    <row r="21" spans="2:7" x14ac:dyDescent="0.35">
      <c r="B21" s="74" t="s">
        <v>21</v>
      </c>
      <c r="C21" s="84">
        <f>'Tenure &amp; IP Rights'!$C$33</f>
        <v>208942.69637081883</v>
      </c>
      <c r="D21" s="84">
        <f>'Tenure &amp; IP Rights'!$D$33</f>
        <v>580858.94999999995</v>
      </c>
      <c r="E21" s="85"/>
      <c r="F21" s="84">
        <f t="shared" si="0"/>
        <v>789801.64637081884</v>
      </c>
    </row>
    <row r="22" spans="2:7" x14ac:dyDescent="0.35">
      <c r="B22" s="74" t="s">
        <v>22</v>
      </c>
      <c r="C22" s="84">
        <f>NFMS!F16</f>
        <v>323202.97155208181</v>
      </c>
      <c r="D22" s="84"/>
      <c r="E22" s="85"/>
      <c r="F22" s="84">
        <f t="shared" si="0"/>
        <v>323202.97155208181</v>
      </c>
    </row>
    <row r="23" spans="2:7" x14ac:dyDescent="0.35">
      <c r="B23" s="74" t="s">
        <v>23</v>
      </c>
      <c r="C23" s="84" t="e">
        <f>#REF!</f>
        <v>#REF!</v>
      </c>
      <c r="D23" s="84" t="e">
        <f>#REF!</f>
        <v>#REF!</v>
      </c>
      <c r="E23" s="85"/>
      <c r="F23" s="84" t="e">
        <f t="shared" si="0"/>
        <v>#REF!</v>
      </c>
    </row>
    <row r="24" spans="2:7" x14ac:dyDescent="0.35">
      <c r="B24" s="74" t="s">
        <v>24</v>
      </c>
      <c r="C24" s="84"/>
      <c r="D24" s="84" t="e">
        <f>#REF!</f>
        <v>#REF!</v>
      </c>
      <c r="E24" s="85"/>
      <c r="F24" s="84" t="e">
        <f t="shared" si="0"/>
        <v>#REF!</v>
      </c>
    </row>
    <row r="25" spans="2:7" x14ac:dyDescent="0.35">
      <c r="B25" s="74" t="s">
        <v>25</v>
      </c>
      <c r="C25" s="84"/>
      <c r="D25" s="84"/>
      <c r="E25" s="85">
        <f>'Cross cutting &amp; comms'!$C$33</f>
        <v>0</v>
      </c>
      <c r="F25" s="84">
        <f t="shared" si="0"/>
        <v>0</v>
      </c>
    </row>
    <row r="26" spans="2:7" x14ac:dyDescent="0.35">
      <c r="B26" s="77" t="s">
        <v>26</v>
      </c>
      <c r="C26" s="86" t="e">
        <f>C18+C14+C10+C6</f>
        <v>#REF!</v>
      </c>
      <c r="D26" s="86" t="e">
        <f>D18+D14+D10+D6</f>
        <v>#REF!</v>
      </c>
      <c r="E26" s="87" t="e">
        <f>E18+E14+E10+E6</f>
        <v>#REF!</v>
      </c>
      <c r="F26" s="86" t="e">
        <f>F18+F14+F10+F6</f>
        <v>#REF!</v>
      </c>
      <c r="G26" s="26"/>
    </row>
    <row r="27" spans="2:7" x14ac:dyDescent="0.35">
      <c r="B27" s="88" t="s">
        <v>27</v>
      </c>
      <c r="C27" s="89" t="e">
        <f>C26*0.07</f>
        <v>#REF!</v>
      </c>
      <c r="D27" s="89" t="e">
        <f>D26*0.07</f>
        <v>#REF!</v>
      </c>
      <c r="E27" s="90" t="e">
        <f>E26*0.07</f>
        <v>#REF!</v>
      </c>
      <c r="F27" s="89" t="e">
        <f>F26*0.07</f>
        <v>#REF!</v>
      </c>
    </row>
    <row r="28" spans="2:7" x14ac:dyDescent="0.35">
      <c r="B28" s="91" t="s">
        <v>28</v>
      </c>
      <c r="C28" s="92" t="e">
        <f>SUM(C26:C27)</f>
        <v>#REF!</v>
      </c>
      <c r="D28" s="92" t="e">
        <f>SUM(D26:D27)</f>
        <v>#REF!</v>
      </c>
      <c r="E28" s="93" t="e">
        <f>SUM(E26:E27)</f>
        <v>#REF!</v>
      </c>
      <c r="F28" s="92" t="e">
        <f>SUM(F26:F27)</f>
        <v>#REF!</v>
      </c>
    </row>
    <row r="29" spans="2:7" x14ac:dyDescent="0.35">
      <c r="C29" s="32"/>
    </row>
    <row r="30" spans="2:7" x14ac:dyDescent="0.35">
      <c r="C30" s="26"/>
      <c r="D30" s="34"/>
      <c r="E30" s="34"/>
      <c r="F30" s="34"/>
    </row>
    <row r="31" spans="2:7" x14ac:dyDescent="0.35">
      <c r="C31" s="26"/>
    </row>
    <row r="33" spans="4:4" x14ac:dyDescent="0.35">
      <c r="D33" s="26"/>
    </row>
  </sheetData>
  <mergeCells count="2">
    <mergeCell ref="B3:B4"/>
    <mergeCell ref="C3:F3"/>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7"/>
  <sheetViews>
    <sheetView workbookViewId="0">
      <selection activeCell="E15" sqref="E15"/>
    </sheetView>
  </sheetViews>
  <sheetFormatPr defaultColWidth="23.7265625" defaultRowHeight="12" x14ac:dyDescent="0.3"/>
  <cols>
    <col min="1" max="1" width="2.7265625" style="14" customWidth="1"/>
    <col min="2" max="2" width="46" style="451" customWidth="1"/>
    <col min="3" max="3" width="11.26953125" style="14" customWidth="1"/>
    <col min="4" max="4" width="11.54296875" style="14" customWidth="1"/>
    <col min="5" max="5" width="11.1796875" style="14" customWidth="1"/>
    <col min="6" max="6" width="12.81640625" style="14" customWidth="1"/>
    <col min="7" max="16384" width="23.7265625" style="14"/>
  </cols>
  <sheetData>
    <row r="2" spans="2:10" ht="24.75" customHeight="1" x14ac:dyDescent="0.3">
      <c r="B2" s="517" t="s">
        <v>29</v>
      </c>
      <c r="C2" s="517"/>
      <c r="D2" s="517"/>
      <c r="E2" s="517"/>
      <c r="F2" s="517"/>
    </row>
    <row r="3" spans="2:10" ht="33" customHeight="1" x14ac:dyDescent="0.3">
      <c r="B3" s="514" t="s">
        <v>30</v>
      </c>
      <c r="C3" s="515"/>
      <c r="D3" s="515"/>
      <c r="E3" s="515"/>
      <c r="F3" s="516"/>
    </row>
    <row r="4" spans="2:10" ht="20.149999999999999" customHeight="1" x14ac:dyDescent="0.3">
      <c r="B4" s="264" t="s">
        <v>31</v>
      </c>
      <c r="C4" s="218" t="s">
        <v>100</v>
      </c>
      <c r="D4" s="219" t="s">
        <v>2</v>
      </c>
      <c r="E4" s="238" t="s">
        <v>3</v>
      </c>
      <c r="F4" s="219" t="s">
        <v>4</v>
      </c>
      <c r="G4" s="440"/>
      <c r="H4" s="441"/>
    </row>
    <row r="5" spans="2:10" ht="20.149999999999999" customHeight="1" x14ac:dyDescent="0.3">
      <c r="B5" s="263" t="s">
        <v>32</v>
      </c>
      <c r="C5" s="265">
        <f>D5+E5+F5</f>
        <v>1950351.2903385416</v>
      </c>
      <c r="D5" s="442">
        <f>'Cote d''Ivoire'!D60+'Rep of Congo'!D38+Zambia!D52+Indonesia!D50+Myanmar!D44+'Viet Nam'!D40+Colombia!D61+Mexico!D50+Peru!D59+'Landscapes Approach'!D53+'Financing &amp; Private Sector'!D31+'Tenure &amp; IP Rights'!D49+NFMS!D33+'Paris Agrmt &amp; SDGs'!D52+'REDD+ Funding Mechanism'!D35+'Cross cutting &amp; comms'!D50</f>
        <v>1450351.2903385416</v>
      </c>
      <c r="E5" s="442">
        <f>'Cote d''Ivoire'!E60+'Rep of Congo'!E38+Zambia!E52+Indonesia!E50+Myanmar!E44+'Viet Nam'!E40+Colombia!E61+Mexico!E50+Peru!E59+'Landscapes Approach'!E53+'Financing &amp; Private Sector'!E31+'Tenure &amp; IP Rights'!E49+NFMS!E33+'Paris Agrmt &amp; SDGs'!E52+'REDD+ Funding Mechanism'!E35+'Cross cutting &amp; comms'!E50</f>
        <v>0</v>
      </c>
      <c r="F5" s="442">
        <f>'Cote d''Ivoire'!F60+'Rep of Congo'!F38+Zambia!F52+Indonesia!F50+Myanmar!F44+'Viet Nam'!F40+Colombia!F61+Mexico!F50+Peru!F59+'Landscapes Approach'!F53+'Financing &amp; Private Sector'!F31+'Tenure &amp; IP Rights'!F49+NFMS!F33+'Paris Agrmt &amp; SDGs'!F52+'REDD+ Funding Mechanism'!F35+'Cross cutting &amp; comms'!F50</f>
        <v>500000</v>
      </c>
      <c r="G5" s="440"/>
      <c r="H5" s="441"/>
    </row>
    <row r="6" spans="2:10" ht="20.149999999999999" customHeight="1" x14ac:dyDescent="0.3">
      <c r="B6" s="263" t="s">
        <v>33</v>
      </c>
      <c r="C6" s="265">
        <f t="shared" ref="C6:C11" si="0">D6+E6+F6</f>
        <v>0</v>
      </c>
      <c r="D6" s="442">
        <f>'Cote d''Ivoire'!D61+'Rep of Congo'!D39+Zambia!D53+Indonesia!D51+Myanmar!D45+'Viet Nam'!D41+Colombia!D62+Mexico!D51+Peru!D60+'Landscapes Approach'!D54+'Financing &amp; Private Sector'!D32+'Tenure &amp; IP Rights'!D50+NFMS!D34+'Paris Agrmt &amp; SDGs'!D53+'REDD+ Funding Mechanism'!D36+'Cross cutting &amp; comms'!D51</f>
        <v>0</v>
      </c>
      <c r="E6" s="442">
        <f>'Cote d''Ivoire'!E61+'Rep of Congo'!E39+Zambia!E53+Indonesia!E51+Myanmar!E45+'Viet Nam'!E41+Colombia!E62+Mexico!E51+Peru!E60+'Landscapes Approach'!E54+'Financing &amp; Private Sector'!E32+'Tenure &amp; IP Rights'!E50+NFMS!E34+'Paris Agrmt &amp; SDGs'!E53+'REDD+ Funding Mechanism'!E36+'Cross cutting &amp; comms'!E51</f>
        <v>0</v>
      </c>
      <c r="F6" s="442">
        <f>'Cote d''Ivoire'!F61+'Rep of Congo'!F39+Zambia!F53+Indonesia!F51+Myanmar!F45+'Viet Nam'!F41+Colombia!F62+Mexico!F51+Peru!F60+'Landscapes Approach'!F54+'Financing &amp; Private Sector'!F32+'Tenure &amp; IP Rights'!F50+NFMS!F34+'Paris Agrmt &amp; SDGs'!F53+'REDD+ Funding Mechanism'!F36+'Cross cutting &amp; comms'!F51</f>
        <v>0</v>
      </c>
      <c r="G6" s="440"/>
    </row>
    <row r="7" spans="2:10" ht="20.149999999999999" customHeight="1" x14ac:dyDescent="0.3">
      <c r="B7" s="266" t="s">
        <v>34</v>
      </c>
      <c r="C7" s="265">
        <f t="shared" si="0"/>
        <v>0</v>
      </c>
      <c r="D7" s="442">
        <f>'Cote d''Ivoire'!D62+'Rep of Congo'!D40+Zambia!D54+Indonesia!D52+Myanmar!D46+'Viet Nam'!D42+Colombia!D63+Mexico!D52+Peru!D61+'Landscapes Approach'!D55+'Financing &amp; Private Sector'!D33+'Tenure &amp; IP Rights'!D51+NFMS!D35+'Paris Agrmt &amp; SDGs'!D54+'REDD+ Funding Mechanism'!D37+'Cross cutting &amp; comms'!D52</f>
        <v>0</v>
      </c>
      <c r="E7" s="442">
        <f>'Cote d''Ivoire'!E62+'Rep of Congo'!E40+Zambia!E54+Indonesia!E52+Myanmar!E46+'Viet Nam'!E42+Colombia!E63+Mexico!E52+Peru!E61+'Landscapes Approach'!E55+'Financing &amp; Private Sector'!E33+'Tenure &amp; IP Rights'!E51+NFMS!E35+'Paris Agrmt &amp; SDGs'!E54+'REDD+ Funding Mechanism'!E37+'Cross cutting &amp; comms'!E52</f>
        <v>0</v>
      </c>
      <c r="F7" s="442">
        <f>'Cote d''Ivoire'!F62+'Rep of Congo'!F40+Zambia!F54+Indonesia!F52+Myanmar!F46+'Viet Nam'!F42+Colombia!F63+Mexico!F52+Peru!F61+'Landscapes Approach'!F55+'Financing &amp; Private Sector'!F33+'Tenure &amp; IP Rights'!F51+NFMS!F35+'Paris Agrmt &amp; SDGs'!F54+'REDD+ Funding Mechanism'!F37+'Cross cutting &amp; comms'!F52</f>
        <v>0</v>
      </c>
      <c r="G7" s="440"/>
      <c r="H7" s="441"/>
    </row>
    <row r="8" spans="2:10" ht="20.149999999999999" customHeight="1" x14ac:dyDescent="0.3">
      <c r="B8" s="263" t="s">
        <v>35</v>
      </c>
      <c r="C8" s="265">
        <f t="shared" si="0"/>
        <v>0</v>
      </c>
      <c r="D8" s="442">
        <f>'Cote d''Ivoire'!D63+'Rep of Congo'!D41+Zambia!D55+Indonesia!D53+Myanmar!D47+'Viet Nam'!D43+Colombia!D64+Mexico!D53+Peru!D62+'Landscapes Approach'!D56+'Financing &amp; Private Sector'!D34+'Tenure &amp; IP Rights'!D52+NFMS!D36+'Paris Agrmt &amp; SDGs'!D55+'REDD+ Funding Mechanism'!D38+'Cross cutting &amp; comms'!D53</f>
        <v>0</v>
      </c>
      <c r="E8" s="442">
        <f>'Cote d''Ivoire'!E63+'Rep of Congo'!E41+Zambia!E55+Indonesia!E53+Myanmar!E47+'Viet Nam'!E43+Colombia!E64+Mexico!E53+Peru!E62+'Landscapes Approach'!E56+'Financing &amp; Private Sector'!E34+'Tenure &amp; IP Rights'!E52+NFMS!E36+'Paris Agrmt &amp; SDGs'!E55+'REDD+ Funding Mechanism'!E38+'Cross cutting &amp; comms'!E53</f>
        <v>0</v>
      </c>
      <c r="F8" s="442">
        <f>'Cote d''Ivoire'!F63+'Rep of Congo'!F41+Zambia!F55+Indonesia!F53+Myanmar!F47+'Viet Nam'!F43+Colombia!F64+Mexico!F53+Peru!F62+'Landscapes Approach'!F56+'Financing &amp; Private Sector'!F34+'Tenure &amp; IP Rights'!F52+NFMS!F36+'Paris Agrmt &amp; SDGs'!F55+'REDD+ Funding Mechanism'!F38+'Cross cutting &amp; comms'!F53</f>
        <v>0</v>
      </c>
      <c r="G8" s="440"/>
      <c r="H8" s="441"/>
    </row>
    <row r="9" spans="2:10" ht="20.149999999999999" customHeight="1" x14ac:dyDescent="0.3">
      <c r="B9" s="263" t="s">
        <v>36</v>
      </c>
      <c r="C9" s="265">
        <f t="shared" si="0"/>
        <v>273851.08124643168</v>
      </c>
      <c r="D9" s="442">
        <f>'Cote d''Ivoire'!D64+'Rep of Congo'!D42+Zambia!D56+Indonesia!D54+Myanmar!D48+'Viet Nam'!D44+Colombia!D65+Mexico!D54+Peru!D63+'Landscapes Approach'!D57+'Financing &amp; Private Sector'!D35+'Tenure &amp; IP Rights'!D53+NFMS!D37+'Paris Agrmt &amp; SDGs'!D56+'REDD+ Funding Mechanism'!D39+'Cross cutting &amp; comms'!D54</f>
        <v>156851.08124643168</v>
      </c>
      <c r="E9" s="442">
        <f>'Cote d''Ivoire'!E64+'Rep of Congo'!E42+Zambia!E56+Indonesia!E54+Myanmar!E48+'Viet Nam'!E44+Colombia!E65+Mexico!E54+Peru!E63+'Landscapes Approach'!E57+'Financing &amp; Private Sector'!E35+'Tenure &amp; IP Rights'!E53+NFMS!E37+'Paris Agrmt &amp; SDGs'!E56+'REDD+ Funding Mechanism'!E39+'Cross cutting &amp; comms'!E54</f>
        <v>0</v>
      </c>
      <c r="F9" s="442">
        <f>'Cote d''Ivoire'!F64+'Rep of Congo'!F42+Zambia!F56+Indonesia!F54+Myanmar!F48+'Viet Nam'!F44+Colombia!F65+Mexico!F54+Peru!F63+'Landscapes Approach'!F57+'Financing &amp; Private Sector'!F35+'Tenure &amp; IP Rights'!F53+NFMS!F37+'Paris Agrmt &amp; SDGs'!F56+'REDD+ Funding Mechanism'!F39+'Cross cutting &amp; comms'!F54</f>
        <v>117000</v>
      </c>
      <c r="G9" s="440"/>
      <c r="H9" s="441"/>
    </row>
    <row r="10" spans="2:10" ht="20.149999999999999" customHeight="1" x14ac:dyDescent="0.3">
      <c r="B10" s="266" t="s">
        <v>53</v>
      </c>
      <c r="C10" s="265">
        <f t="shared" si="0"/>
        <v>0</v>
      </c>
      <c r="D10" s="442">
        <f>'Cote d''Ivoire'!D65+'Rep of Congo'!D43+Zambia!D57+Indonesia!D55+Myanmar!D49+'Viet Nam'!D45+Colombia!D66+Mexico!D55+Peru!D64+'Landscapes Approach'!D58+'Financing &amp; Private Sector'!D36+'Tenure &amp; IP Rights'!D54+NFMS!D38+'Paris Agrmt &amp; SDGs'!D57+'REDD+ Funding Mechanism'!D40+'Cross cutting &amp; comms'!D55</f>
        <v>0</v>
      </c>
      <c r="E10" s="442">
        <f>'Cote d''Ivoire'!E65+'Rep of Congo'!E43+Zambia!E57+Indonesia!E55+Myanmar!E49+'Viet Nam'!E45+Colombia!E66+Mexico!E55+Peru!E64+'Landscapes Approach'!E58+'Financing &amp; Private Sector'!E36+'Tenure &amp; IP Rights'!E54+NFMS!E38+'Paris Agrmt &amp; SDGs'!E57+'REDD+ Funding Mechanism'!E40+'Cross cutting &amp; comms'!E55</f>
        <v>0</v>
      </c>
      <c r="F10" s="442">
        <f>'Cote d''Ivoire'!F65+'Rep of Congo'!F43+Zambia!F57+Indonesia!F55+Myanmar!F49+'Viet Nam'!F45+Colombia!F66+Mexico!F55+Peru!F64+'Landscapes Approach'!F58+'Financing &amp; Private Sector'!F36+'Tenure &amp; IP Rights'!F54+NFMS!F38+'Paris Agrmt &amp; SDGs'!F57+'REDD+ Funding Mechanism'!F40+'Cross cutting &amp; comms'!F55</f>
        <v>0</v>
      </c>
      <c r="G10" s="440"/>
      <c r="H10" s="440"/>
      <c r="I10" s="440"/>
      <c r="J10" s="440"/>
    </row>
    <row r="11" spans="2:10" ht="20.149999999999999" customHeight="1" x14ac:dyDescent="0.3">
      <c r="B11" s="266" t="s">
        <v>37</v>
      </c>
      <c r="C11" s="265">
        <f t="shared" si="0"/>
        <v>149204.5701955629</v>
      </c>
      <c r="D11" s="442">
        <f>'Cote d''Ivoire'!D66+'Rep of Congo'!D44+Zambia!D58+Indonesia!D56+Myanmar!D50+'Viet Nam'!D46+Colombia!D67+Mexico!D56+Peru!D65+'Landscapes Approach'!D59+'Financing &amp; Private Sector'!D37+'Tenure &amp; IP Rights'!D55+NFMS!D39+'Paris Agrmt &amp; SDGs'!D58+'REDD+ Funding Mechanism'!D41+'Cross cutting &amp; comms'!D56</f>
        <v>99204.570195562905</v>
      </c>
      <c r="E11" s="442">
        <f>'Cote d''Ivoire'!E66+'Rep of Congo'!E44+Zambia!E58+Indonesia!E56+Myanmar!E50+'Viet Nam'!E46+Colombia!E67+Mexico!E56+Peru!E65+'Landscapes Approach'!E59+'Financing &amp; Private Sector'!E37+'Tenure &amp; IP Rights'!E55+NFMS!E39+'Paris Agrmt &amp; SDGs'!E58+'REDD+ Funding Mechanism'!E41+'Cross cutting &amp; comms'!E56</f>
        <v>0</v>
      </c>
      <c r="F11" s="442">
        <f>'Cote d''Ivoire'!F66+'Rep of Congo'!F44+Zambia!F58+Indonesia!F56+Myanmar!F50+'Viet Nam'!F46+Colombia!F67+Mexico!F56+Peru!F65+'Landscapes Approach'!F59+'Financing &amp; Private Sector'!F37+'Tenure &amp; IP Rights'!F55+NFMS!F39+'Paris Agrmt &amp; SDGs'!F58+'REDD+ Funding Mechanism'!F41+'Cross cutting &amp; comms'!F56</f>
        <v>50000</v>
      </c>
      <c r="G11" s="440"/>
      <c r="H11" s="440"/>
      <c r="I11" s="440"/>
      <c r="J11" s="440"/>
    </row>
    <row r="12" spans="2:10" ht="20.149999999999999" customHeight="1" x14ac:dyDescent="0.3">
      <c r="B12" s="267" t="s">
        <v>38</v>
      </c>
      <c r="C12" s="268">
        <f>SUM(C5:C11)</f>
        <v>2373406.9417805364</v>
      </c>
      <c r="D12" s="268">
        <f>SUM(D5:D11)</f>
        <v>1706406.9417805362</v>
      </c>
      <c r="E12" s="268">
        <f>SUM(E5:E11)</f>
        <v>0</v>
      </c>
      <c r="F12" s="268">
        <f>SUM(F5:F11)</f>
        <v>667000</v>
      </c>
      <c r="G12" s="440"/>
      <c r="H12" s="440"/>
      <c r="I12" s="440"/>
      <c r="J12" s="440"/>
    </row>
    <row r="13" spans="2:10" ht="28.5" customHeight="1" x14ac:dyDescent="0.3">
      <c r="B13" s="514" t="s">
        <v>39</v>
      </c>
      <c r="C13" s="515"/>
      <c r="D13" s="515"/>
      <c r="E13" s="515"/>
      <c r="F13" s="516"/>
      <c r="G13" s="440"/>
      <c r="H13" s="440"/>
      <c r="I13" s="440"/>
      <c r="J13" s="440"/>
    </row>
    <row r="14" spans="2:10" ht="20.149999999999999" customHeight="1" x14ac:dyDescent="0.3">
      <c r="B14" s="264" t="s">
        <v>31</v>
      </c>
      <c r="C14" s="218" t="s">
        <v>100</v>
      </c>
      <c r="D14" s="219" t="s">
        <v>2</v>
      </c>
      <c r="E14" s="238" t="s">
        <v>3</v>
      </c>
      <c r="F14" s="219" t="s">
        <v>4</v>
      </c>
      <c r="G14" s="440"/>
      <c r="H14" s="440"/>
      <c r="I14" s="440"/>
      <c r="J14" s="440"/>
    </row>
    <row r="15" spans="2:10" ht="20.149999999999999" customHeight="1" x14ac:dyDescent="0.3">
      <c r="B15" s="263" t="s">
        <v>32</v>
      </c>
      <c r="C15" s="443">
        <f t="shared" ref="C15:C20" si="1">F15+E15+D15</f>
        <v>5600250.7865650831</v>
      </c>
      <c r="D15" s="444">
        <f>'Cote d''Ivoire'!D71+'Rep of Congo'!D49+Zambia!D63+Indonesia!D61+Myanmar!D55+'Viet Nam'!D51+Colombia!D72+Mexico!D61+Peru!D70+'Landscapes Approach'!D64+'Financing &amp; Private Sector'!D42+'Tenure &amp; IP Rights'!D60+NFMS!D44+'Paris Agrmt &amp; SDGs'!D63+'REDD+ Funding Mechanism'!D46+'Cross cutting &amp; comms'!D61</f>
        <v>922287.68156508252</v>
      </c>
      <c r="E15" s="444">
        <f>'Cote d''Ivoire'!E71+'Rep of Congo'!E49+Zambia!E63+Indonesia!E61+Myanmar!E55+'Viet Nam'!E51+Colombia!E72+Mexico!E61+Peru!E70+'Landscapes Approach'!E64+'Financing &amp; Private Sector'!E42+'Tenure &amp; IP Rights'!E60+NFMS!E44+'Paris Agrmt &amp; SDGs'!E63+'REDD+ Funding Mechanism'!E46+'Cross cutting &amp; comms'!E61</f>
        <v>3287801.2050000001</v>
      </c>
      <c r="F15" s="444">
        <f>'Cote d''Ivoire'!F71+'Rep of Congo'!F49+Zambia!F63+Indonesia!F61+Myanmar!F55+'Viet Nam'!F51+Colombia!F72+Mexico!F61+Peru!F70+'Landscapes Approach'!F64+'Financing &amp; Private Sector'!F42+'Tenure &amp; IP Rights'!F60+NFMS!F44+'Paris Agrmt &amp; SDGs'!F63+'REDD+ Funding Mechanism'!F46+'Cross cutting &amp; comms'!F61</f>
        <v>1390161.9</v>
      </c>
      <c r="G15" s="440"/>
      <c r="H15" s="440"/>
      <c r="I15" s="440"/>
      <c r="J15" s="440"/>
    </row>
    <row r="16" spans="2:10" ht="20.149999999999999" customHeight="1" x14ac:dyDescent="0.3">
      <c r="B16" s="263" t="s">
        <v>33</v>
      </c>
      <c r="C16" s="443">
        <f t="shared" si="1"/>
        <v>0</v>
      </c>
      <c r="D16" s="444">
        <f>'Cote d''Ivoire'!D72+'Rep of Congo'!D50+Zambia!D64+Indonesia!D62+Myanmar!D56+'Viet Nam'!D52+Colombia!D73+Mexico!D62+Peru!D71+'Landscapes Approach'!D65+'Financing &amp; Private Sector'!D43+'Tenure &amp; IP Rights'!D61+NFMS!D45+'Paris Agrmt &amp; SDGs'!D64+'REDD+ Funding Mechanism'!D47+'Cross cutting &amp; comms'!D62</f>
        <v>0</v>
      </c>
      <c r="E16" s="444">
        <f>'Cote d''Ivoire'!E72+'Rep of Congo'!E50+Zambia!E64+Indonesia!E62+Myanmar!E56+'Viet Nam'!E52+Colombia!E73+Mexico!E62+Peru!E71+'Landscapes Approach'!E65+'Financing &amp; Private Sector'!E43+'Tenure &amp; IP Rights'!E61+NFMS!E45+'Paris Agrmt &amp; SDGs'!E64+'REDD+ Funding Mechanism'!E47+'Cross cutting &amp; comms'!E62</f>
        <v>0</v>
      </c>
      <c r="F16" s="444">
        <f>'Cote d''Ivoire'!F72+'Rep of Congo'!F50+Zambia!F64+Indonesia!F62+Myanmar!F56+'Viet Nam'!F52+Colombia!F73+Mexico!F62+Peru!F71+'Landscapes Approach'!F65+'Financing &amp; Private Sector'!F43+'Tenure &amp; IP Rights'!F61+NFMS!F45+'Paris Agrmt &amp; SDGs'!F64+'REDD+ Funding Mechanism'!F47+'Cross cutting &amp; comms'!F62</f>
        <v>0</v>
      </c>
      <c r="G16" s="440"/>
      <c r="H16" s="440"/>
      <c r="I16" s="440"/>
      <c r="J16" s="440"/>
    </row>
    <row r="17" spans="2:10" ht="20.149999999999999" customHeight="1" x14ac:dyDescent="0.3">
      <c r="B17" s="266" t="s">
        <v>34</v>
      </c>
      <c r="C17" s="443">
        <f t="shared" si="1"/>
        <v>0</v>
      </c>
      <c r="D17" s="444">
        <f>'Cote d''Ivoire'!D73+'Rep of Congo'!D51+Zambia!D65+Indonesia!D63+Myanmar!D57+'Viet Nam'!D53+Colombia!D74+Mexico!D63+Peru!D72+'Landscapes Approach'!D66+'Financing &amp; Private Sector'!D44+'Tenure &amp; IP Rights'!D62+NFMS!D46+'Paris Agrmt &amp; SDGs'!D65+'REDD+ Funding Mechanism'!D48+'Cross cutting &amp; comms'!D63</f>
        <v>0</v>
      </c>
      <c r="E17" s="444">
        <f>'Cote d''Ivoire'!E73+'Rep of Congo'!E51+Zambia!E65+Indonesia!E63+Myanmar!E57+'Viet Nam'!E53+Colombia!E74+Mexico!E63+Peru!E72+'Landscapes Approach'!E66+'Financing &amp; Private Sector'!E44+'Tenure &amp; IP Rights'!E62+NFMS!E46+'Paris Agrmt &amp; SDGs'!E65+'REDD+ Funding Mechanism'!E48+'Cross cutting &amp; comms'!E63</f>
        <v>0</v>
      </c>
      <c r="F17" s="444">
        <f>'Cote d''Ivoire'!F73+'Rep of Congo'!F51+Zambia!F65+Indonesia!F63+Myanmar!F57+'Viet Nam'!F53+Colombia!F74+Mexico!F63+Peru!F72+'Landscapes Approach'!F66+'Financing &amp; Private Sector'!F44+'Tenure &amp; IP Rights'!F62+NFMS!F46+'Paris Agrmt &amp; SDGs'!F65+'REDD+ Funding Mechanism'!F48+'Cross cutting &amp; comms'!F63</f>
        <v>0</v>
      </c>
      <c r="G17" s="440"/>
      <c r="H17" s="440"/>
      <c r="I17" s="440"/>
      <c r="J17" s="440"/>
    </row>
    <row r="18" spans="2:10" ht="20.149999999999999" customHeight="1" x14ac:dyDescent="0.3">
      <c r="B18" s="263" t="s">
        <v>35</v>
      </c>
      <c r="C18" s="443">
        <f t="shared" si="1"/>
        <v>30000</v>
      </c>
      <c r="D18" s="444">
        <f>'Cote d''Ivoire'!D74+'Rep of Congo'!D52+Zambia!D66+Indonesia!D64+Myanmar!D58+'Viet Nam'!D54+Colombia!D75+Mexico!D64+Peru!D73+'Landscapes Approach'!D67+'Financing &amp; Private Sector'!D45+'Tenure &amp; IP Rights'!D63+NFMS!D47+'Paris Agrmt &amp; SDGs'!D66+'REDD+ Funding Mechanism'!D49+'Cross cutting &amp; comms'!D64</f>
        <v>0</v>
      </c>
      <c r="E18" s="444">
        <f>'Cote d''Ivoire'!E74+'Rep of Congo'!E52+Zambia!E66+Indonesia!E64+Myanmar!E58+'Viet Nam'!E54+Colombia!E75+Mexico!E64+Peru!E73+'Landscapes Approach'!E67+'Financing &amp; Private Sector'!E45+'Tenure &amp; IP Rights'!E63+NFMS!E47+'Paris Agrmt &amp; SDGs'!E66+'REDD+ Funding Mechanism'!E49+'Cross cutting &amp; comms'!E64</f>
        <v>0</v>
      </c>
      <c r="F18" s="444">
        <f>'Cote d''Ivoire'!F74+'Rep of Congo'!F52+Zambia!F66+Indonesia!F64+Myanmar!F58+'Viet Nam'!F54+Colombia!F75+Mexico!F64+Peru!F73+'Landscapes Approach'!F67+'Financing &amp; Private Sector'!F45+'Tenure &amp; IP Rights'!F63+NFMS!F47+'Paris Agrmt &amp; SDGs'!F66+'REDD+ Funding Mechanism'!F49+'Cross cutting &amp; comms'!F64</f>
        <v>30000</v>
      </c>
      <c r="G18" s="440"/>
      <c r="H18" s="440"/>
      <c r="I18" s="440"/>
      <c r="J18" s="440"/>
    </row>
    <row r="19" spans="2:10" ht="20.149999999999999" customHeight="1" x14ac:dyDescent="0.3">
      <c r="B19" s="263" t="s">
        <v>36</v>
      </c>
      <c r="C19" s="443">
        <f t="shared" si="1"/>
        <v>825140.33759410516</v>
      </c>
      <c r="D19" s="444">
        <f>'Cote d''Ivoire'!D75+'Rep of Congo'!D53+Zambia!D67+Indonesia!D65+Myanmar!D59+'Viet Nam'!D55+Colombia!D76+Mexico!D65+Peru!D74+'Landscapes Approach'!D68+'Financing &amp; Private Sector'!D46+'Tenure &amp; IP Rights'!D64+NFMS!D48+'Paris Agrmt &amp; SDGs'!D67+'REDD+ Funding Mechanism'!D50+'Cross cutting &amp; comms'!D65</f>
        <v>125378.03759410507</v>
      </c>
      <c r="E19" s="444">
        <f>'Cote d''Ivoire'!E75+'Rep of Congo'!E53+Zambia!E67+Indonesia!E65+Myanmar!E59+'Viet Nam'!E55+Colombia!E76+Mexico!E65+Peru!E74+'Landscapes Approach'!E68+'Financing &amp; Private Sector'!E46+'Tenure &amp; IP Rights'!E64+NFMS!E48+'Paris Agrmt &amp; SDGs'!E67+'REDD+ Funding Mechanism'!E50+'Cross cutting &amp; comms'!E65</f>
        <v>454000</v>
      </c>
      <c r="F19" s="444">
        <f>'Cote d''Ivoire'!F75+'Rep of Congo'!F53+Zambia!F67+Indonesia!F65+Myanmar!F59+'Viet Nam'!F55+Colombia!F76+Mexico!F65+Peru!F74+'Landscapes Approach'!F68+'Financing &amp; Private Sector'!F46+'Tenure &amp; IP Rights'!F64+NFMS!F48+'Paris Agrmt &amp; SDGs'!F67+'REDD+ Funding Mechanism'!F50+'Cross cutting &amp; comms'!F65</f>
        <v>245762.3</v>
      </c>
      <c r="G19" s="440"/>
      <c r="H19" s="440"/>
      <c r="I19" s="440"/>
      <c r="J19" s="440"/>
    </row>
    <row r="20" spans="2:10" ht="20.149999999999999" customHeight="1" x14ac:dyDescent="0.3">
      <c r="B20" s="266" t="s">
        <v>53</v>
      </c>
      <c r="C20" s="443">
        <f t="shared" si="1"/>
        <v>0</v>
      </c>
      <c r="D20" s="444">
        <f>'Cote d''Ivoire'!D76+'Rep of Congo'!D54+Zambia!D68+Indonesia!D66+Myanmar!D60+'Viet Nam'!D56+Colombia!D77+Mexico!D66+Peru!D75+'Landscapes Approach'!D69+'Financing &amp; Private Sector'!D47+'Tenure &amp; IP Rights'!D65+NFMS!D49+'Paris Agrmt &amp; SDGs'!D68+'REDD+ Funding Mechanism'!D51+'Cross cutting &amp; comms'!D66</f>
        <v>0</v>
      </c>
      <c r="E20" s="444">
        <f>'Cote d''Ivoire'!E76+'Rep of Congo'!E54+Zambia!E68+Indonesia!E66+Myanmar!E60+'Viet Nam'!E56+Colombia!E77+Mexico!E66+Peru!E75+'Landscapes Approach'!E69+'Financing &amp; Private Sector'!E47+'Tenure &amp; IP Rights'!E65+NFMS!E49+'Paris Agrmt &amp; SDGs'!E68+'REDD+ Funding Mechanism'!E51+'Cross cutting &amp; comms'!E66</f>
        <v>0</v>
      </c>
      <c r="F20" s="444">
        <f>'Cote d''Ivoire'!F76+'Rep of Congo'!F54+Zambia!F68+Indonesia!F66+Myanmar!F60+'Viet Nam'!F56+Colombia!F77+Mexico!F66+Peru!F75+'Landscapes Approach'!F69+'Financing &amp; Private Sector'!F47+'Tenure &amp; IP Rights'!F65+NFMS!F49+'Paris Agrmt &amp; SDGs'!F68+'REDD+ Funding Mechanism'!F51+'Cross cutting &amp; comms'!F66</f>
        <v>0</v>
      </c>
      <c r="G20" s="440"/>
      <c r="H20" s="440"/>
      <c r="I20" s="440"/>
      <c r="J20" s="440"/>
    </row>
    <row r="21" spans="2:10" ht="20.149999999999999" customHeight="1" x14ac:dyDescent="0.3">
      <c r="B21" s="266" t="s">
        <v>37</v>
      </c>
      <c r="C21" s="443">
        <f>D21+E21+F21</f>
        <v>658601.49158772873</v>
      </c>
      <c r="D21" s="444">
        <f>'Cote d''Ivoire'!D77+'Rep of Congo'!D55+Zambia!D69+Indonesia!D67+Myanmar!D61+'Viet Nam'!D57+Colombia!D78+Mexico!D67+Peru!D76+'Landscapes Approach'!D70+'Financing &amp; Private Sector'!D48+'Tenure &amp; IP Rights'!D66+NFMS!D50+'Paris Agrmt &amp; SDGs'!D69+'REDD+ Funding Mechanism'!D52+'Cross cutting &amp; comms'!D67</f>
        <v>51823.011587728623</v>
      </c>
      <c r="E21" s="444">
        <f>'Cote d''Ivoire'!E77+'Rep of Congo'!E55+Zambia!E69+Indonesia!E67+Myanmar!E61+'Viet Nam'!E57+Colombia!E78+Mexico!E67+Peru!E76+'Landscapes Approach'!E70+'Financing &amp; Private Sector'!E48+'Tenure &amp; IP Rights'!E66+NFMS!E50+'Paris Agrmt &amp; SDGs'!E69+'REDD+ Funding Mechanism'!E52+'Cross cutting &amp; comms'!E67</f>
        <v>411778.48000000004</v>
      </c>
      <c r="F21" s="444">
        <f>'Cote d''Ivoire'!F77+'Rep of Congo'!F55+Zambia!F69+Indonesia!F67+Myanmar!F61+'Viet Nam'!F57+Colombia!F78+Mexico!F67+Peru!F76+'Landscapes Approach'!F70+'Financing &amp; Private Sector'!F48+'Tenure &amp; IP Rights'!F66+NFMS!F50+'Paris Agrmt &amp; SDGs'!F69+'REDD+ Funding Mechanism'!F52+'Cross cutting &amp; comms'!F67</f>
        <v>195000</v>
      </c>
      <c r="G21" s="440"/>
      <c r="H21" s="440"/>
      <c r="I21" s="440"/>
      <c r="J21" s="440"/>
    </row>
    <row r="22" spans="2:10" ht="20.149999999999999" customHeight="1" x14ac:dyDescent="0.3">
      <c r="B22" s="445" t="s">
        <v>38</v>
      </c>
      <c r="C22" s="446">
        <f>SUM(C15:C21)</f>
        <v>7113992.6157469172</v>
      </c>
      <c r="D22" s="446">
        <f>SUM(D15:D21)</f>
        <v>1099488.7307469163</v>
      </c>
      <c r="E22" s="446">
        <f>SUM(E15:E21)</f>
        <v>4153579.6850000001</v>
      </c>
      <c r="F22" s="446">
        <f>SUM(F15:F21)</f>
        <v>1860924.2</v>
      </c>
      <c r="G22" s="440"/>
      <c r="H22" s="440"/>
      <c r="I22" s="440"/>
      <c r="J22" s="440"/>
    </row>
    <row r="23" spans="2:10" ht="20.149999999999999" customHeight="1" x14ac:dyDescent="0.3">
      <c r="B23" s="447" t="s">
        <v>40</v>
      </c>
      <c r="C23" s="478">
        <f>C22+C12</f>
        <v>9487399.5575274527</v>
      </c>
      <c r="D23" s="448">
        <f>D22+D12</f>
        <v>2805895.6725274525</v>
      </c>
      <c r="E23" s="448">
        <f>E22+E12</f>
        <v>4153579.6850000001</v>
      </c>
      <c r="F23" s="448">
        <f>F22+F12</f>
        <v>2527924.2000000002</v>
      </c>
      <c r="G23" s="440"/>
      <c r="H23" s="440"/>
      <c r="I23" s="440"/>
      <c r="J23" s="440"/>
    </row>
    <row r="24" spans="2:10" ht="20.149999999999999" customHeight="1" x14ac:dyDescent="0.3">
      <c r="B24" s="447" t="s">
        <v>41</v>
      </c>
      <c r="C24" s="448">
        <f>C23*0.07</f>
        <v>664117.96902692178</v>
      </c>
      <c r="D24" s="448">
        <f>D23*0.07</f>
        <v>196412.6970769217</v>
      </c>
      <c r="E24" s="448">
        <f>E23*0.07</f>
        <v>290750.57795000001</v>
      </c>
      <c r="F24" s="448">
        <f>F23*0.07</f>
        <v>176954.69400000002</v>
      </c>
      <c r="G24" s="440"/>
      <c r="H24" s="440"/>
      <c r="I24" s="440"/>
      <c r="J24" s="440"/>
    </row>
    <row r="25" spans="2:10" ht="20.149999999999999" customHeight="1" x14ac:dyDescent="0.3">
      <c r="B25" s="449" t="s">
        <v>42</v>
      </c>
      <c r="C25" s="450">
        <f>C23+C24</f>
        <v>10151517.526554374</v>
      </c>
      <c r="D25" s="450">
        <f>D23+D24</f>
        <v>3002308.3696043743</v>
      </c>
      <c r="E25" s="450">
        <f>E23+E24</f>
        <v>4444330.2629500004</v>
      </c>
      <c r="F25" s="450">
        <f>F23+F24</f>
        <v>2704878.8940000003</v>
      </c>
      <c r="G25" s="440"/>
      <c r="H25" s="440"/>
      <c r="I25" s="440"/>
      <c r="J25" s="440"/>
    </row>
    <row r="27" spans="2:10" x14ac:dyDescent="0.3">
      <c r="E27" s="452"/>
    </row>
    <row r="28" spans="2:10" x14ac:dyDescent="0.3">
      <c r="B28" s="453" t="s">
        <v>43</v>
      </c>
      <c r="C28" s="454" t="s">
        <v>111</v>
      </c>
      <c r="E28" s="452"/>
    </row>
    <row r="29" spans="2:10" ht="24.75" customHeight="1" x14ac:dyDescent="0.3">
      <c r="B29" s="455" t="s">
        <v>32</v>
      </c>
      <c r="C29" s="456">
        <f>C5+C15</f>
        <v>7550602.0769036245</v>
      </c>
      <c r="E29" s="452"/>
    </row>
    <row r="30" spans="2:10" ht="23.25" customHeight="1" x14ac:dyDescent="0.3">
      <c r="B30" s="455" t="s">
        <v>33</v>
      </c>
      <c r="C30" s="456">
        <f>C6+C16</f>
        <v>0</v>
      </c>
      <c r="E30" s="452"/>
    </row>
    <row r="31" spans="2:10" x14ac:dyDescent="0.3">
      <c r="B31" s="455" t="s">
        <v>34</v>
      </c>
      <c r="C31" s="456">
        <f>C7+C17</f>
        <v>0</v>
      </c>
      <c r="E31" s="452"/>
    </row>
    <row r="32" spans="2:10" ht="22.5" customHeight="1" x14ac:dyDescent="0.3">
      <c r="B32" s="455" t="s">
        <v>35</v>
      </c>
      <c r="C32" s="457">
        <f>C8+C18</f>
        <v>30000</v>
      </c>
      <c r="E32" s="452"/>
    </row>
    <row r="33" spans="2:5" ht="20.25" customHeight="1" x14ac:dyDescent="0.3">
      <c r="B33" s="458" t="s">
        <v>36</v>
      </c>
      <c r="C33" s="457">
        <f>C9+C19</f>
        <v>1098991.4188405368</v>
      </c>
      <c r="E33" s="452"/>
    </row>
    <row r="34" spans="2:5" ht="19.5" customHeight="1" x14ac:dyDescent="0.3">
      <c r="B34" s="458" t="s">
        <v>37</v>
      </c>
      <c r="C34" s="457">
        <f>C11+C21</f>
        <v>807806.06178329163</v>
      </c>
      <c r="E34" s="452"/>
    </row>
    <row r="35" spans="2:5" ht="19.5" customHeight="1" x14ac:dyDescent="0.3">
      <c r="B35" s="458" t="s">
        <v>49</v>
      </c>
      <c r="C35" s="459">
        <f>SUM(C29:C34)</f>
        <v>9487399.5575274527</v>
      </c>
      <c r="E35" s="452"/>
    </row>
    <row r="36" spans="2:5" ht="15.75" customHeight="1" x14ac:dyDescent="0.3">
      <c r="B36" s="458" t="s">
        <v>50</v>
      </c>
      <c r="C36" s="457">
        <f>0.07*C35</f>
        <v>664117.96902692178</v>
      </c>
      <c r="E36" s="452"/>
    </row>
    <row r="37" spans="2:5" ht="19.5" customHeight="1" x14ac:dyDescent="0.3">
      <c r="B37" s="453" t="s">
        <v>51</v>
      </c>
      <c r="C37" s="460">
        <f>SUM(C35:C36)</f>
        <v>10151517.526554374</v>
      </c>
      <c r="E37" s="452"/>
    </row>
  </sheetData>
  <mergeCells count="3">
    <mergeCell ref="B3:F3"/>
    <mergeCell ref="B13:F13"/>
    <mergeCell ref="B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zoomScale="80" zoomScaleNormal="80" workbookViewId="0">
      <selection activeCell="K2" sqref="K2:N2"/>
    </sheetView>
  </sheetViews>
  <sheetFormatPr defaultColWidth="9.1796875" defaultRowHeight="12" x14ac:dyDescent="0.3"/>
  <cols>
    <col min="1" max="1" width="9.1796875" style="315"/>
    <col min="2" max="2" width="32.1796875" style="315" customWidth="1"/>
    <col min="3" max="4" width="10.81640625" style="315" customWidth="1"/>
    <col min="5" max="5" width="10.453125" style="315" customWidth="1"/>
    <col min="6" max="6" width="11.453125" style="315" customWidth="1"/>
    <col min="7" max="7" width="9.7265625" style="315" customWidth="1"/>
    <col min="8" max="8" width="10.54296875" style="315" customWidth="1"/>
    <col min="9" max="9" width="9.7265625" style="315" customWidth="1"/>
    <col min="10" max="10" width="10.81640625" style="315" customWidth="1"/>
    <col min="11" max="14" width="9.7265625" style="315" customWidth="1"/>
    <col min="15" max="15" width="14.453125" style="315" customWidth="1"/>
    <col min="16" max="16" width="14.54296875" style="315" customWidth="1"/>
    <col min="17" max="17" width="9.7265625" style="315" bestFit="1" customWidth="1"/>
    <col min="18" max="18" width="10.81640625" style="315" customWidth="1"/>
    <col min="19" max="19" width="10.26953125" style="315" bestFit="1" customWidth="1"/>
    <col min="20" max="16384" width="9.1796875" style="315"/>
  </cols>
  <sheetData>
    <row r="2" spans="2:15" ht="35.25" customHeight="1" x14ac:dyDescent="0.3">
      <c r="B2" s="518" t="s">
        <v>0</v>
      </c>
      <c r="C2" s="520">
        <v>2018</v>
      </c>
      <c r="D2" s="521"/>
      <c r="E2" s="521"/>
      <c r="F2" s="522"/>
      <c r="G2" s="523" t="s">
        <v>318</v>
      </c>
      <c r="H2" s="524"/>
      <c r="I2" s="524"/>
      <c r="J2" s="525"/>
      <c r="K2" s="520" t="s">
        <v>320</v>
      </c>
      <c r="L2" s="521"/>
      <c r="M2" s="521"/>
      <c r="N2" s="522"/>
      <c r="O2" s="526" t="s">
        <v>42</v>
      </c>
    </row>
    <row r="3" spans="2:15" x14ac:dyDescent="0.3">
      <c r="B3" s="519"/>
      <c r="C3" s="317" t="s">
        <v>2</v>
      </c>
      <c r="D3" s="318" t="s">
        <v>3</v>
      </c>
      <c r="E3" s="319" t="s">
        <v>4</v>
      </c>
      <c r="F3" s="320" t="s">
        <v>1</v>
      </c>
      <c r="G3" s="372" t="s">
        <v>2</v>
      </c>
      <c r="H3" s="373" t="s">
        <v>3</v>
      </c>
      <c r="I3" s="373" t="s">
        <v>4</v>
      </c>
      <c r="J3" s="374" t="s">
        <v>1</v>
      </c>
      <c r="K3" s="372" t="s">
        <v>2</v>
      </c>
      <c r="L3" s="373" t="s">
        <v>3</v>
      </c>
      <c r="M3" s="373" t="s">
        <v>4</v>
      </c>
      <c r="N3" s="374" t="s">
        <v>1</v>
      </c>
      <c r="O3" s="526"/>
    </row>
    <row r="4" spans="2:15" x14ac:dyDescent="0.3">
      <c r="B4" s="375" t="s">
        <v>5</v>
      </c>
      <c r="C4" s="376">
        <f t="shared" ref="C4:N4" si="0">C5+C9+C13</f>
        <v>1988598</v>
      </c>
      <c r="D4" s="377">
        <f t="shared" si="0"/>
        <v>1891720</v>
      </c>
      <c r="E4" s="377">
        <f t="shared" si="0"/>
        <v>657924</v>
      </c>
      <c r="F4" s="378">
        <f t="shared" si="0"/>
        <v>4538242</v>
      </c>
      <c r="G4" s="379">
        <f t="shared" si="0"/>
        <v>1988598.0495837554</v>
      </c>
      <c r="H4" s="380">
        <f t="shared" si="0"/>
        <v>1861063.78</v>
      </c>
      <c r="I4" s="380">
        <f t="shared" si="0"/>
        <v>657924.19999999995</v>
      </c>
      <c r="J4" s="380">
        <f t="shared" si="0"/>
        <v>4507586.0295837559</v>
      </c>
      <c r="K4" s="379">
        <f t="shared" si="0"/>
        <v>1988598</v>
      </c>
      <c r="L4" s="380">
        <f t="shared" si="0"/>
        <v>1827520</v>
      </c>
      <c r="M4" s="380">
        <f t="shared" si="0"/>
        <v>657924</v>
      </c>
      <c r="N4" s="381">
        <f t="shared" si="0"/>
        <v>4474042</v>
      </c>
      <c r="O4" s="382">
        <f>F4+J4+N4</f>
        <v>13519870.029583756</v>
      </c>
    </row>
    <row r="5" spans="2:15" ht="20.149999999999999" customHeight="1" x14ac:dyDescent="0.3">
      <c r="B5" s="383" t="s">
        <v>6</v>
      </c>
      <c r="C5" s="384">
        <f>SUM(C6:C8)</f>
        <v>660336</v>
      </c>
      <c r="D5" s="385">
        <f>SUM(D6:D8)</f>
        <v>439580</v>
      </c>
      <c r="E5" s="385">
        <f>SUM(E6:E8)</f>
        <v>189300</v>
      </c>
      <c r="F5" s="386">
        <f>SUM(F6:F8)</f>
        <v>1289216</v>
      </c>
      <c r="G5" s="384">
        <f>G6+G7+G8</f>
        <v>660336.17367055023</v>
      </c>
      <c r="H5" s="384">
        <f>H6+H7+H8</f>
        <v>402241.67</v>
      </c>
      <c r="I5" s="384">
        <f>I6+I7+I8</f>
        <v>189300</v>
      </c>
      <c r="J5" s="384">
        <f>J6+J7+J8</f>
        <v>1251877.8436705503</v>
      </c>
      <c r="K5" s="384">
        <f>SUM(K6:K8)</f>
        <v>660336</v>
      </c>
      <c r="L5" s="385">
        <f>SUM(L6:L8)</f>
        <v>372880</v>
      </c>
      <c r="M5" s="385">
        <f>SUM(M6:M8)</f>
        <v>189300</v>
      </c>
      <c r="N5" s="386">
        <f t="shared" ref="N5:N16" si="1">SUM(K5:M5)</f>
        <v>1222516</v>
      </c>
      <c r="O5" s="387">
        <f>F5+J5+N5</f>
        <v>3763609.8436705503</v>
      </c>
    </row>
    <row r="6" spans="2:15" ht="20.149999999999999" customHeight="1" x14ac:dyDescent="0.3">
      <c r="B6" s="388" t="s">
        <v>7</v>
      </c>
      <c r="C6" s="389">
        <v>202402</v>
      </c>
      <c r="D6" s="390">
        <v>366540</v>
      </c>
      <c r="E6" s="390">
        <v>95000</v>
      </c>
      <c r="F6" s="391">
        <f>SUM(C6:E6)</f>
        <v>663942</v>
      </c>
      <c r="G6" s="392">
        <f>'2019 Comparison'!J6</f>
        <v>202401.95069516427</v>
      </c>
      <c r="H6" s="392">
        <f>'2019 Comparison'!K6</f>
        <v>374708.67</v>
      </c>
      <c r="I6" s="392">
        <f>'2019 Comparison'!L6</f>
        <v>95000</v>
      </c>
      <c r="J6" s="392">
        <f>G6+H6+I6</f>
        <v>672110.62069516419</v>
      </c>
      <c r="K6" s="392">
        <v>202402</v>
      </c>
      <c r="L6" s="393">
        <v>338860</v>
      </c>
      <c r="M6" s="393">
        <v>95000</v>
      </c>
      <c r="N6" s="394">
        <f t="shared" si="1"/>
        <v>636262</v>
      </c>
      <c r="O6" s="395">
        <f t="shared" ref="O6:O16" si="2">F6+J6+N6</f>
        <v>1972314.6206951642</v>
      </c>
    </row>
    <row r="7" spans="2:15" ht="20.149999999999999" customHeight="1" x14ac:dyDescent="0.3">
      <c r="B7" s="388" t="s">
        <v>8</v>
      </c>
      <c r="C7" s="389">
        <v>240352</v>
      </c>
      <c r="D7" s="390">
        <v>0</v>
      </c>
      <c r="E7" s="390">
        <v>0</v>
      </c>
      <c r="F7" s="391">
        <f>SUM(C7:E7)</f>
        <v>240352</v>
      </c>
      <c r="G7" s="392">
        <f>'2019 Comparison'!J7</f>
        <v>240352.22297538599</v>
      </c>
      <c r="H7" s="392">
        <f>'2019 Comparison'!K7</f>
        <v>0</v>
      </c>
      <c r="I7" s="392">
        <f>'2019 Comparison'!L7</f>
        <v>0</v>
      </c>
      <c r="J7" s="392">
        <f t="shared" ref="J7:J24" si="3">G7+H7+I7</f>
        <v>240352.22297538599</v>
      </c>
      <c r="K7" s="392">
        <v>240352</v>
      </c>
      <c r="L7" s="393">
        <v>0</v>
      </c>
      <c r="M7" s="393">
        <v>0</v>
      </c>
      <c r="N7" s="394">
        <f t="shared" si="1"/>
        <v>240352</v>
      </c>
      <c r="O7" s="395">
        <f t="shared" si="2"/>
        <v>721056.22297538596</v>
      </c>
    </row>
    <row r="8" spans="2:15" ht="20.149999999999999" customHeight="1" x14ac:dyDescent="0.3">
      <c r="B8" s="388" t="s">
        <v>9</v>
      </c>
      <c r="C8" s="389">
        <v>217582</v>
      </c>
      <c r="D8" s="390">
        <v>73040</v>
      </c>
      <c r="E8" s="390">
        <v>94300</v>
      </c>
      <c r="F8" s="391">
        <f>SUM(C8:E8)</f>
        <v>384922</v>
      </c>
      <c r="G8" s="392">
        <f>'2019 Comparison'!J8</f>
        <v>217582</v>
      </c>
      <c r="H8" s="392">
        <f>'2019 Comparison'!K8</f>
        <v>27533</v>
      </c>
      <c r="I8" s="392">
        <f>'2019 Comparison'!L8</f>
        <v>94300</v>
      </c>
      <c r="J8" s="392">
        <f t="shared" si="3"/>
        <v>339415</v>
      </c>
      <c r="K8" s="392">
        <v>217582</v>
      </c>
      <c r="L8" s="393">
        <v>34020</v>
      </c>
      <c r="M8" s="393">
        <v>94300</v>
      </c>
      <c r="N8" s="394">
        <f t="shared" si="1"/>
        <v>345902</v>
      </c>
      <c r="O8" s="395">
        <f t="shared" si="2"/>
        <v>1070239</v>
      </c>
    </row>
    <row r="9" spans="2:15" ht="20.149999999999999" customHeight="1" x14ac:dyDescent="0.3">
      <c r="B9" s="396" t="s">
        <v>10</v>
      </c>
      <c r="C9" s="397">
        <f>SUM(C10:C12)</f>
        <v>834908</v>
      </c>
      <c r="D9" s="398">
        <f>SUM(D10:D12)</f>
        <v>533960</v>
      </c>
      <c r="E9" s="398">
        <f>SUM(E10:E12)</f>
        <v>231000</v>
      </c>
      <c r="F9" s="399">
        <f>SUM(F10:F12)</f>
        <v>1599868</v>
      </c>
      <c r="G9" s="400">
        <f>G10+G11+G12</f>
        <v>834907.08446736203</v>
      </c>
      <c r="H9" s="400">
        <f>H10+H11+H12</f>
        <v>539798.65</v>
      </c>
      <c r="I9" s="400">
        <f>I10+I11+I12</f>
        <v>231000</v>
      </c>
      <c r="J9" s="400">
        <f>J10+J11+J12</f>
        <v>1605705.7344673621</v>
      </c>
      <c r="K9" s="400">
        <f>SUM(K10:K12)</f>
        <v>834908</v>
      </c>
      <c r="L9" s="401">
        <f>SUM(L10:L12)</f>
        <v>547800</v>
      </c>
      <c r="M9" s="401">
        <f>SUM(M10:M12)</f>
        <v>231000</v>
      </c>
      <c r="N9" s="399">
        <f t="shared" si="1"/>
        <v>1613708</v>
      </c>
      <c r="O9" s="387">
        <f t="shared" si="2"/>
        <v>4819281.7344673621</v>
      </c>
    </row>
    <row r="10" spans="2:15" ht="20.149999999999999" customHeight="1" x14ac:dyDescent="0.3">
      <c r="B10" s="388" t="s">
        <v>11</v>
      </c>
      <c r="C10" s="389">
        <v>442755</v>
      </c>
      <c r="D10" s="390">
        <v>241800</v>
      </c>
      <c r="E10" s="390">
        <v>185000</v>
      </c>
      <c r="F10" s="391">
        <f>SUM(C10:E10)</f>
        <v>869555</v>
      </c>
      <c r="G10" s="392">
        <f>'2019 Comparison'!J10</f>
        <v>442754</v>
      </c>
      <c r="H10" s="392">
        <f>'2019 Comparison'!K10</f>
        <v>207110.49</v>
      </c>
      <c r="I10" s="392">
        <f>'2019 Comparison'!L10</f>
        <v>185000</v>
      </c>
      <c r="J10" s="392">
        <f t="shared" si="3"/>
        <v>834864.49</v>
      </c>
      <c r="K10" s="392">
        <v>442755</v>
      </c>
      <c r="L10" s="393">
        <v>191440</v>
      </c>
      <c r="M10" s="393">
        <v>185000</v>
      </c>
      <c r="N10" s="394">
        <f t="shared" si="1"/>
        <v>819195</v>
      </c>
      <c r="O10" s="395">
        <f t="shared" si="2"/>
        <v>2523614.4900000002</v>
      </c>
    </row>
    <row r="11" spans="2:15" ht="20.149999999999999" customHeight="1" x14ac:dyDescent="0.3">
      <c r="B11" s="388" t="s">
        <v>12</v>
      </c>
      <c r="C11" s="389">
        <v>189751</v>
      </c>
      <c r="D11" s="390">
        <v>157420</v>
      </c>
      <c r="E11" s="390">
        <v>46000</v>
      </c>
      <c r="F11" s="391">
        <f>SUM(C11:E11)</f>
        <v>393171</v>
      </c>
      <c r="G11" s="392">
        <f>'2019 Comparison'!J11</f>
        <v>189751.49287153597</v>
      </c>
      <c r="H11" s="392">
        <f>'2019 Comparison'!K11</f>
        <v>163707.78</v>
      </c>
      <c r="I11" s="392">
        <f>'2019 Comparison'!L11</f>
        <v>46000</v>
      </c>
      <c r="J11" s="392">
        <f t="shared" si="3"/>
        <v>399459.27287153597</v>
      </c>
      <c r="K11" s="392">
        <v>189751</v>
      </c>
      <c r="L11" s="393">
        <v>207780</v>
      </c>
      <c r="M11" s="393">
        <v>46000</v>
      </c>
      <c r="N11" s="394">
        <f t="shared" si="1"/>
        <v>443531</v>
      </c>
      <c r="O11" s="395">
        <f t="shared" si="2"/>
        <v>1236161.272871536</v>
      </c>
    </row>
    <row r="12" spans="2:15" ht="20.149999999999999" customHeight="1" x14ac:dyDescent="0.3">
      <c r="B12" s="388" t="s">
        <v>13</v>
      </c>
      <c r="C12" s="389">
        <v>202402</v>
      </c>
      <c r="D12" s="390">
        <v>134740</v>
      </c>
      <c r="E12" s="390"/>
      <c r="F12" s="391">
        <f>SUM(C12:E12)</f>
        <v>337142</v>
      </c>
      <c r="G12" s="392">
        <f>'2019 Comparison'!J12</f>
        <v>202401.59159582609</v>
      </c>
      <c r="H12" s="392">
        <f>'2019 Comparison'!K12</f>
        <v>168980.38</v>
      </c>
      <c r="I12" s="392">
        <f>'2019 Comparison'!L12</f>
        <v>0</v>
      </c>
      <c r="J12" s="392">
        <f t="shared" si="3"/>
        <v>371381.97159582609</v>
      </c>
      <c r="K12" s="392">
        <v>202402</v>
      </c>
      <c r="L12" s="393">
        <v>148580</v>
      </c>
      <c r="M12" s="393"/>
      <c r="N12" s="394">
        <f t="shared" si="1"/>
        <v>350982</v>
      </c>
      <c r="O12" s="395">
        <f t="shared" si="2"/>
        <v>1059505.9715958261</v>
      </c>
    </row>
    <row r="13" spans="2:15" ht="20.149999999999999" customHeight="1" x14ac:dyDescent="0.3">
      <c r="B13" s="396" t="s">
        <v>14</v>
      </c>
      <c r="C13" s="397">
        <f>SUM(C14:C16)</f>
        <v>493354</v>
      </c>
      <c r="D13" s="398">
        <f>SUM(D14:D16)</f>
        <v>918180</v>
      </c>
      <c r="E13" s="398">
        <f>SUM(E14:E16)</f>
        <v>237624</v>
      </c>
      <c r="F13" s="399">
        <f>SUM(F14:F16)</f>
        <v>1649158</v>
      </c>
      <c r="G13" s="400">
        <f>G14+G15+G16</f>
        <v>493354.79144584312</v>
      </c>
      <c r="H13" s="400">
        <f>H14+H15+H16</f>
        <v>919023.46</v>
      </c>
      <c r="I13" s="400">
        <f>I14+I15+I16</f>
        <v>237624.19999999998</v>
      </c>
      <c r="J13" s="400">
        <f>J14+J15+J16</f>
        <v>1650002.4514458431</v>
      </c>
      <c r="K13" s="400">
        <f>SUM(K14:K16)</f>
        <v>493354</v>
      </c>
      <c r="L13" s="401">
        <f>SUM(L14:L16)</f>
        <v>906840</v>
      </c>
      <c r="M13" s="401">
        <f>SUM(M14:M16)</f>
        <v>237624</v>
      </c>
      <c r="N13" s="399">
        <f t="shared" si="1"/>
        <v>1637818</v>
      </c>
      <c r="O13" s="387">
        <f t="shared" si="2"/>
        <v>4936978.4514458431</v>
      </c>
    </row>
    <row r="14" spans="2:15" ht="20.149999999999999" customHeight="1" x14ac:dyDescent="0.3">
      <c r="B14" s="388" t="s">
        <v>15</v>
      </c>
      <c r="C14" s="389">
        <v>227702</v>
      </c>
      <c r="D14" s="390">
        <v>227960</v>
      </c>
      <c r="E14" s="390">
        <v>58903</v>
      </c>
      <c r="F14" s="391">
        <f>SUM(C14:E14)</f>
        <v>514565</v>
      </c>
      <c r="G14" s="392">
        <f>'2019 Comparison'!J14</f>
        <v>227701.79144584312</v>
      </c>
      <c r="H14" s="392">
        <f>'2019 Comparison'!K14</f>
        <v>240241</v>
      </c>
      <c r="I14" s="392">
        <f>'2019 Comparison'!L14</f>
        <v>58903.199999999997</v>
      </c>
      <c r="J14" s="393">
        <f t="shared" si="3"/>
        <v>526845.99144584313</v>
      </c>
      <c r="K14" s="392">
        <v>227702</v>
      </c>
      <c r="L14" s="393">
        <v>253140</v>
      </c>
      <c r="M14" s="393">
        <v>58903</v>
      </c>
      <c r="N14" s="394">
        <f t="shared" si="1"/>
        <v>539745</v>
      </c>
      <c r="O14" s="395">
        <f t="shared" si="2"/>
        <v>1581155.9914458431</v>
      </c>
    </row>
    <row r="15" spans="2:15" ht="20.149999999999999" customHeight="1" x14ac:dyDescent="0.3">
      <c r="B15" s="388" t="s">
        <v>16</v>
      </c>
      <c r="C15" s="389">
        <v>151801</v>
      </c>
      <c r="D15" s="390">
        <v>289660</v>
      </c>
      <c r="E15" s="390">
        <v>85126</v>
      </c>
      <c r="F15" s="391">
        <f>SUM(C15:E15)</f>
        <v>526587</v>
      </c>
      <c r="G15" s="392">
        <f>'2019 Comparison'!J15</f>
        <v>151801</v>
      </c>
      <c r="H15" s="392">
        <f>'2019 Comparison'!K15</f>
        <v>213692.46000000002</v>
      </c>
      <c r="I15" s="392">
        <f>'2019 Comparison'!L15</f>
        <v>85125.666666666672</v>
      </c>
      <c r="J15" s="393">
        <f t="shared" si="3"/>
        <v>450619.12666666671</v>
      </c>
      <c r="K15" s="392">
        <v>151801</v>
      </c>
      <c r="L15" s="393">
        <v>239300</v>
      </c>
      <c r="M15" s="393">
        <v>85126</v>
      </c>
      <c r="N15" s="394">
        <f t="shared" si="1"/>
        <v>476227</v>
      </c>
      <c r="O15" s="395">
        <f t="shared" si="2"/>
        <v>1453433.1266666667</v>
      </c>
    </row>
    <row r="16" spans="2:15" ht="20.149999999999999" customHeight="1" x14ac:dyDescent="0.3">
      <c r="B16" s="388" t="s">
        <v>17</v>
      </c>
      <c r="C16" s="389">
        <v>113851</v>
      </c>
      <c r="D16" s="390">
        <v>400560</v>
      </c>
      <c r="E16" s="402">
        <v>93595</v>
      </c>
      <c r="F16" s="391">
        <f>SUM(C16:E16)</f>
        <v>608006</v>
      </c>
      <c r="G16" s="392">
        <f>'2019 Comparison'!J16</f>
        <v>113852</v>
      </c>
      <c r="H16" s="392">
        <f>'2019 Comparison'!K16</f>
        <v>465090</v>
      </c>
      <c r="I16" s="392">
        <f>'2019 Comparison'!L16</f>
        <v>93595.333333333314</v>
      </c>
      <c r="J16" s="393">
        <f t="shared" si="3"/>
        <v>672537.33333333326</v>
      </c>
      <c r="K16" s="392">
        <v>113851</v>
      </c>
      <c r="L16" s="393">
        <v>414400</v>
      </c>
      <c r="M16" s="393">
        <v>93595</v>
      </c>
      <c r="N16" s="403">
        <f t="shared" si="1"/>
        <v>621846</v>
      </c>
      <c r="O16" s="395">
        <f t="shared" si="2"/>
        <v>1902389.3333333333</v>
      </c>
    </row>
    <row r="17" spans="2:15" ht="20.149999999999999" customHeight="1" x14ac:dyDescent="0.3">
      <c r="B17" s="404" t="s">
        <v>18</v>
      </c>
      <c r="C17" s="405">
        <f>SUM(C18:C24)</f>
        <v>817298</v>
      </c>
      <c r="D17" s="406">
        <f t="shared" ref="D17:M17" si="4">SUM(D18:D24)</f>
        <v>1488020</v>
      </c>
      <c r="E17" s="406">
        <f t="shared" si="4"/>
        <v>1870000</v>
      </c>
      <c r="F17" s="407">
        <f t="shared" si="4"/>
        <v>4175318</v>
      </c>
      <c r="G17" s="408">
        <f>G18+G19+G20+G21+G22+G23+G24</f>
        <v>817297.6229436968</v>
      </c>
      <c r="H17" s="408">
        <f>H18+H19+H20+H21+H22+H23+H24</f>
        <v>2292515.9050000003</v>
      </c>
      <c r="I17" s="408">
        <f>I18+I19+I20+I21+I22+I23+I24</f>
        <v>1870000</v>
      </c>
      <c r="J17" s="408">
        <f>J18+J19+J20+J21+J22+J23+J24</f>
        <v>4979813.5279436968</v>
      </c>
      <c r="K17" s="408">
        <f t="shared" si="4"/>
        <v>877297</v>
      </c>
      <c r="L17" s="409">
        <f t="shared" si="4"/>
        <v>1556060</v>
      </c>
      <c r="M17" s="409">
        <f t="shared" si="4"/>
        <v>1870000</v>
      </c>
      <c r="N17" s="410">
        <f>SUM(N18:N24)</f>
        <v>4303357</v>
      </c>
      <c r="O17" s="411">
        <f>F17+J17+N17</f>
        <v>13458488.527943697</v>
      </c>
    </row>
    <row r="18" spans="2:15" ht="20.149999999999999" customHeight="1" x14ac:dyDescent="0.3">
      <c r="B18" s="388" t="s">
        <v>19</v>
      </c>
      <c r="C18" s="412">
        <v>210152</v>
      </c>
      <c r="D18" s="413"/>
      <c r="E18" s="413">
        <v>94000</v>
      </c>
      <c r="F18" s="414">
        <f>SUM(C18:E18)</f>
        <v>304152</v>
      </c>
      <c r="G18" s="415">
        <f>'2019 Comparison'!J18</f>
        <v>210151.95502079604</v>
      </c>
      <c r="H18" s="415">
        <f>'2019 Comparison'!K18</f>
        <v>0</v>
      </c>
      <c r="I18" s="415">
        <f>'2019 Comparison'!L18</f>
        <v>94000</v>
      </c>
      <c r="J18" s="416">
        <f t="shared" si="3"/>
        <v>304151.95502079604</v>
      </c>
      <c r="K18" s="415">
        <v>210151</v>
      </c>
      <c r="L18" s="416"/>
      <c r="M18" s="416">
        <v>94000</v>
      </c>
      <c r="N18" s="417">
        <f t="shared" ref="N18:N24" si="5">SUM(K18:M18)</f>
        <v>304151</v>
      </c>
      <c r="O18" s="418">
        <f>F18+J18+N18</f>
        <v>912454.95502079604</v>
      </c>
    </row>
    <row r="19" spans="2:15" ht="20.149999999999999" customHeight="1" x14ac:dyDescent="0.3">
      <c r="B19" s="388" t="s">
        <v>20</v>
      </c>
      <c r="C19" s="412"/>
      <c r="D19" s="413"/>
      <c r="E19" s="413">
        <v>467000</v>
      </c>
      <c r="F19" s="414">
        <f t="shared" ref="F19:F24" si="6">SUM(C19:E19)</f>
        <v>467000</v>
      </c>
      <c r="G19" s="415">
        <f>'2019 Comparison'!J19</f>
        <v>0</v>
      </c>
      <c r="H19" s="415">
        <f>'2019 Comparison'!K19</f>
        <v>0</v>
      </c>
      <c r="I19" s="415">
        <f>'2019 Comparison'!L19</f>
        <v>467000</v>
      </c>
      <c r="J19" s="416">
        <f t="shared" si="3"/>
        <v>467000</v>
      </c>
      <c r="K19" s="415"/>
      <c r="L19" s="416"/>
      <c r="M19" s="416">
        <v>467000</v>
      </c>
      <c r="N19" s="417">
        <f t="shared" si="5"/>
        <v>467000</v>
      </c>
      <c r="O19" s="418">
        <f t="shared" ref="O19:O24" si="7">F19+J19+N19</f>
        <v>1401000</v>
      </c>
    </row>
    <row r="20" spans="2:15" ht="20.149999999999999" customHeight="1" x14ac:dyDescent="0.3">
      <c r="B20" s="388" t="s">
        <v>21</v>
      </c>
      <c r="C20" s="412">
        <v>208943</v>
      </c>
      <c r="D20" s="413">
        <v>495560</v>
      </c>
      <c r="E20" s="413"/>
      <c r="F20" s="414">
        <f t="shared" si="6"/>
        <v>704503</v>
      </c>
      <c r="G20" s="415">
        <f>'2019 Comparison'!J20</f>
        <v>208942.69637081883</v>
      </c>
      <c r="H20" s="415">
        <f>'2019 Comparison'!K20</f>
        <v>580858.94999999995</v>
      </c>
      <c r="I20" s="415">
        <f>'2019 Comparison'!L20</f>
        <v>0</v>
      </c>
      <c r="J20" s="416">
        <f t="shared" si="3"/>
        <v>789801.64637081884</v>
      </c>
      <c r="K20" s="415">
        <v>208943</v>
      </c>
      <c r="L20" s="416">
        <v>518240</v>
      </c>
      <c r="M20" s="416"/>
      <c r="N20" s="417">
        <f t="shared" si="5"/>
        <v>727183</v>
      </c>
      <c r="O20" s="418">
        <f t="shared" si="7"/>
        <v>2221487.6463708188</v>
      </c>
    </row>
    <row r="21" spans="2:15" ht="20.149999999999999" customHeight="1" x14ac:dyDescent="0.3">
      <c r="B21" s="388" t="s">
        <v>22</v>
      </c>
      <c r="C21" s="412">
        <v>323203</v>
      </c>
      <c r="D21" s="413"/>
      <c r="E21" s="413"/>
      <c r="F21" s="414">
        <f t="shared" si="6"/>
        <v>323203</v>
      </c>
      <c r="G21" s="415">
        <f>'2019 Comparison'!J21</f>
        <v>323202.97155208187</v>
      </c>
      <c r="H21" s="415">
        <f>'2019 Comparison'!K21</f>
        <v>0</v>
      </c>
      <c r="I21" s="415">
        <f>'2019 Comparison'!L21</f>
        <v>0</v>
      </c>
      <c r="J21" s="416">
        <f t="shared" si="3"/>
        <v>323202.97155208187</v>
      </c>
      <c r="K21" s="415">
        <v>383203</v>
      </c>
      <c r="L21" s="416"/>
      <c r="M21" s="416"/>
      <c r="N21" s="417">
        <f t="shared" si="5"/>
        <v>383203</v>
      </c>
      <c r="O21" s="418">
        <f t="shared" si="7"/>
        <v>1029608.9715520819</v>
      </c>
    </row>
    <row r="22" spans="2:15" ht="20.149999999999999" customHeight="1" x14ac:dyDescent="0.3">
      <c r="B22" s="388" t="s">
        <v>23</v>
      </c>
      <c r="C22" s="412">
        <v>75000</v>
      </c>
      <c r="D22" s="413">
        <v>562260</v>
      </c>
      <c r="E22" s="413"/>
      <c r="F22" s="414">
        <f t="shared" si="6"/>
        <v>637260</v>
      </c>
      <c r="G22" s="415">
        <f>'2019 Comparison'!J22</f>
        <v>75000</v>
      </c>
      <c r="H22" s="415">
        <f>'2019 Comparison'!K22</f>
        <v>963946.95500000007</v>
      </c>
      <c r="I22" s="415">
        <f>'2019 Comparison'!L22</f>
        <v>0</v>
      </c>
      <c r="J22" s="416">
        <f t="shared" si="3"/>
        <v>1038946.9550000001</v>
      </c>
      <c r="K22" s="415">
        <v>75000</v>
      </c>
      <c r="L22" s="416">
        <v>596280</v>
      </c>
      <c r="M22" s="416"/>
      <c r="N22" s="417">
        <f t="shared" si="5"/>
        <v>671280</v>
      </c>
      <c r="O22" s="418">
        <f t="shared" si="7"/>
        <v>2347486.9550000001</v>
      </c>
    </row>
    <row r="23" spans="2:15" ht="20.149999999999999" customHeight="1" x14ac:dyDescent="0.3">
      <c r="B23" s="388" t="s">
        <v>24</v>
      </c>
      <c r="C23" s="412"/>
      <c r="D23" s="413">
        <v>430200</v>
      </c>
      <c r="E23" s="413"/>
      <c r="F23" s="414">
        <f t="shared" si="6"/>
        <v>430200</v>
      </c>
      <c r="G23" s="415">
        <f>'2019 Comparison'!J23</f>
        <v>0</v>
      </c>
      <c r="H23" s="415">
        <f>'2019 Comparison'!K23</f>
        <v>747710</v>
      </c>
      <c r="I23" s="415">
        <f>'2019 Comparison'!L23</f>
        <v>0</v>
      </c>
      <c r="J23" s="416">
        <f t="shared" si="3"/>
        <v>747710</v>
      </c>
      <c r="K23" s="415"/>
      <c r="L23" s="416">
        <v>441540</v>
      </c>
      <c r="M23" s="416"/>
      <c r="N23" s="417">
        <f t="shared" si="5"/>
        <v>441540</v>
      </c>
      <c r="O23" s="418">
        <f t="shared" si="7"/>
        <v>1619450</v>
      </c>
    </row>
    <row r="24" spans="2:15" ht="20.149999999999999" customHeight="1" x14ac:dyDescent="0.3">
      <c r="B24" s="388" t="s">
        <v>25</v>
      </c>
      <c r="C24" s="412">
        <v>0</v>
      </c>
      <c r="D24" s="413"/>
      <c r="E24" s="413">
        <v>1309000</v>
      </c>
      <c r="F24" s="414">
        <f t="shared" si="6"/>
        <v>1309000</v>
      </c>
      <c r="G24" s="415">
        <f>'2019 Comparison'!J24</f>
        <v>0</v>
      </c>
      <c r="H24" s="415">
        <f>'2019 Comparison'!K24</f>
        <v>0</v>
      </c>
      <c r="I24" s="415">
        <f>'2019 Comparison'!L24</f>
        <v>1309000</v>
      </c>
      <c r="J24" s="416">
        <f t="shared" si="3"/>
        <v>1309000</v>
      </c>
      <c r="K24" s="415"/>
      <c r="L24" s="416"/>
      <c r="M24" s="416">
        <v>1309000</v>
      </c>
      <c r="N24" s="417">
        <f t="shared" si="5"/>
        <v>1309000</v>
      </c>
      <c r="O24" s="418">
        <f t="shared" si="7"/>
        <v>3927000</v>
      </c>
    </row>
    <row r="25" spans="2:15" ht="20.149999999999999" customHeight="1" x14ac:dyDescent="0.3">
      <c r="B25" s="396" t="s">
        <v>26</v>
      </c>
      <c r="C25" s="419">
        <f>C17+C13+C9+C5</f>
        <v>2805896</v>
      </c>
      <c r="D25" s="420">
        <f>D17+D13+D9+D5</f>
        <v>3379740</v>
      </c>
      <c r="E25" s="420">
        <f>E17+E13+E9+E5</f>
        <v>2527924</v>
      </c>
      <c r="F25" s="421">
        <f>F17+F13+F9+F5</f>
        <v>8713560</v>
      </c>
      <c r="G25" s="422">
        <f t="shared" ref="G25:N25" si="8">G17+G4</f>
        <v>2805895.672527452</v>
      </c>
      <c r="H25" s="422">
        <f t="shared" si="8"/>
        <v>4153579.6850000005</v>
      </c>
      <c r="I25" s="422">
        <f t="shared" si="8"/>
        <v>2527924.2000000002</v>
      </c>
      <c r="J25" s="423">
        <f t="shared" si="8"/>
        <v>9487399.5575274527</v>
      </c>
      <c r="K25" s="424">
        <f t="shared" si="8"/>
        <v>2865895</v>
      </c>
      <c r="L25" s="420">
        <f t="shared" si="8"/>
        <v>3383580</v>
      </c>
      <c r="M25" s="420">
        <f t="shared" si="8"/>
        <v>2527924</v>
      </c>
      <c r="N25" s="425">
        <f t="shared" si="8"/>
        <v>8777399</v>
      </c>
      <c r="O25" s="426">
        <f>F25+J25+N25</f>
        <v>26978358.557527453</v>
      </c>
    </row>
    <row r="26" spans="2:15" ht="20.149999999999999" customHeight="1" x14ac:dyDescent="0.3">
      <c r="B26" s="427" t="s">
        <v>27</v>
      </c>
      <c r="C26" s="428">
        <f t="shared" ref="C26:O26" si="9">C25*0.07</f>
        <v>196412.72000000003</v>
      </c>
      <c r="D26" s="429">
        <f t="shared" si="9"/>
        <v>236581.80000000002</v>
      </c>
      <c r="E26" s="429">
        <f t="shared" si="9"/>
        <v>176954.68000000002</v>
      </c>
      <c r="F26" s="430">
        <f t="shared" si="9"/>
        <v>609949.20000000007</v>
      </c>
      <c r="G26" s="428">
        <f t="shared" si="9"/>
        <v>196412.69707692167</v>
      </c>
      <c r="H26" s="428">
        <f t="shared" si="9"/>
        <v>290750.57795000006</v>
      </c>
      <c r="I26" s="428">
        <f t="shared" si="9"/>
        <v>176954.69400000002</v>
      </c>
      <c r="J26" s="428">
        <f t="shared" si="9"/>
        <v>664117.96902692178</v>
      </c>
      <c r="K26" s="428">
        <f t="shared" si="9"/>
        <v>200612.65000000002</v>
      </c>
      <c r="L26" s="429">
        <f t="shared" si="9"/>
        <v>236850.60000000003</v>
      </c>
      <c r="M26" s="429">
        <f t="shared" si="9"/>
        <v>176954.68000000002</v>
      </c>
      <c r="N26" s="430">
        <f t="shared" si="9"/>
        <v>614417.93000000005</v>
      </c>
      <c r="O26" s="431">
        <f t="shared" si="9"/>
        <v>1888485.0990269219</v>
      </c>
    </row>
    <row r="27" spans="2:15" ht="20.149999999999999" customHeight="1" x14ac:dyDescent="0.3">
      <c r="B27" s="432" t="s">
        <v>28</v>
      </c>
      <c r="C27" s="433">
        <f>SUM(C25:C26)</f>
        <v>3002308.72</v>
      </c>
      <c r="D27" s="434">
        <f>SUM(D25:D26)</f>
        <v>3616321.8</v>
      </c>
      <c r="E27" s="434">
        <f>SUM(E25:E26)</f>
        <v>2704878.68</v>
      </c>
      <c r="F27" s="435">
        <f>SUM(F25:F26)</f>
        <v>9323509.1999999993</v>
      </c>
      <c r="G27" s="436">
        <f>G26+G25</f>
        <v>3002308.3696043738</v>
      </c>
      <c r="H27" s="436">
        <f t="shared" ref="H27:O27" si="10">H26+H25</f>
        <v>4444330.2629500004</v>
      </c>
      <c r="I27" s="436">
        <f t="shared" si="10"/>
        <v>2704878.8940000003</v>
      </c>
      <c r="J27" s="436">
        <f t="shared" si="10"/>
        <v>10151517.526554374</v>
      </c>
      <c r="K27" s="436">
        <f t="shared" si="10"/>
        <v>3066507.65</v>
      </c>
      <c r="L27" s="436">
        <f t="shared" si="10"/>
        <v>3620430.6</v>
      </c>
      <c r="M27" s="436">
        <f t="shared" si="10"/>
        <v>2704878.68</v>
      </c>
      <c r="N27" s="436">
        <f t="shared" si="10"/>
        <v>9391816.9299999997</v>
      </c>
      <c r="O27" s="436">
        <f t="shared" si="10"/>
        <v>28866843.656554375</v>
      </c>
    </row>
    <row r="28" spans="2:15" x14ac:dyDescent="0.3">
      <c r="C28" s="437"/>
    </row>
    <row r="29" spans="2:15" x14ac:dyDescent="0.3">
      <c r="C29" s="438"/>
      <c r="D29" s="439"/>
      <c r="E29" s="439"/>
      <c r="F29" s="439"/>
      <c r="G29" s="438"/>
      <c r="K29" s="438"/>
    </row>
    <row r="30" spans="2:15" x14ac:dyDescent="0.3">
      <c r="C30" s="438"/>
      <c r="G30" s="438"/>
    </row>
    <row r="32" spans="2:15" x14ac:dyDescent="0.3">
      <c r="D32" s="438"/>
      <c r="H32" s="438"/>
    </row>
    <row r="33" spans="8:8" x14ac:dyDescent="0.3">
      <c r="H33" s="438"/>
    </row>
    <row r="34" spans="8:8" x14ac:dyDescent="0.3">
      <c r="H34" s="438"/>
    </row>
    <row r="35" spans="8:8" x14ac:dyDescent="0.3">
      <c r="H35" s="438"/>
    </row>
  </sheetData>
  <mergeCells count="5">
    <mergeCell ref="B2:B3"/>
    <mergeCell ref="C2:F2"/>
    <mergeCell ref="G2:J2"/>
    <mergeCell ref="K2:N2"/>
    <mergeCell ref="O2:O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topLeftCell="A6" zoomScale="70" zoomScaleNormal="70" workbookViewId="0">
      <selection activeCell="I29" sqref="I29"/>
    </sheetView>
  </sheetViews>
  <sheetFormatPr defaultColWidth="9.1796875" defaultRowHeight="12" x14ac:dyDescent="0.3"/>
  <cols>
    <col min="1" max="1" width="33.81640625" style="358" bestFit="1" customWidth="1"/>
    <col min="2" max="8" width="12.1796875" style="358" bestFit="1" customWidth="1"/>
    <col min="9" max="9" width="12.1796875" style="358" customWidth="1"/>
    <col min="10" max="11" width="16.26953125" style="358" customWidth="1"/>
    <col min="12" max="12" width="15.1796875" style="358" customWidth="1"/>
    <col min="13" max="13" width="11.54296875" style="358" bestFit="1" customWidth="1"/>
    <col min="14" max="17" width="9.7265625" style="358" hidden="1" customWidth="1"/>
    <col min="18" max="18" width="14.453125" style="358" hidden="1" customWidth="1"/>
    <col min="19" max="19" width="9.54296875" style="358" customWidth="1"/>
    <col min="20" max="20" width="10" style="358" bestFit="1" customWidth="1"/>
    <col min="21" max="21" width="10.26953125" style="358" bestFit="1" customWidth="1"/>
    <col min="22" max="22" width="10" style="358" bestFit="1" customWidth="1"/>
    <col min="23" max="23" width="10" style="315" bestFit="1" customWidth="1"/>
    <col min="24" max="16384" width="9.1796875" style="315"/>
  </cols>
  <sheetData>
    <row r="1" spans="1:23" ht="24.65" customHeight="1" x14ac:dyDescent="0.3">
      <c r="A1" s="527" t="s">
        <v>317</v>
      </c>
      <c r="B1" s="527"/>
      <c r="C1" s="527"/>
      <c r="D1" s="527"/>
      <c r="E1" s="527"/>
      <c r="F1" s="527"/>
      <c r="G1" s="527"/>
      <c r="H1" s="527"/>
      <c r="I1" s="527"/>
      <c r="J1" s="527"/>
      <c r="K1" s="527"/>
      <c r="L1" s="527"/>
      <c r="M1" s="527"/>
      <c r="N1" s="527"/>
      <c r="O1" s="527"/>
      <c r="P1" s="527"/>
      <c r="Q1" s="527"/>
      <c r="R1" s="527"/>
      <c r="S1" s="527"/>
      <c r="T1" s="527"/>
      <c r="U1" s="527"/>
      <c r="V1" s="527"/>
      <c r="W1" s="528"/>
    </row>
    <row r="2" spans="1:23" x14ac:dyDescent="0.3">
      <c r="A2" s="518" t="s">
        <v>0</v>
      </c>
      <c r="B2" s="520">
        <v>2018</v>
      </c>
      <c r="C2" s="521"/>
      <c r="D2" s="521"/>
      <c r="E2" s="522"/>
      <c r="F2" s="529" t="s">
        <v>112</v>
      </c>
      <c r="G2" s="530"/>
      <c r="H2" s="530"/>
      <c r="I2" s="531"/>
      <c r="J2" s="532" t="s">
        <v>318</v>
      </c>
      <c r="K2" s="533"/>
      <c r="L2" s="533"/>
      <c r="M2" s="534"/>
      <c r="N2" s="520">
        <v>2020</v>
      </c>
      <c r="O2" s="521"/>
      <c r="P2" s="521"/>
      <c r="Q2" s="522"/>
      <c r="R2" s="535" t="s">
        <v>42</v>
      </c>
      <c r="S2" s="536" t="s">
        <v>113</v>
      </c>
      <c r="T2" s="521"/>
      <c r="U2" s="521"/>
      <c r="V2" s="535"/>
      <c r="W2" s="316"/>
    </row>
    <row r="3" spans="1:23" x14ac:dyDescent="0.3">
      <c r="A3" s="519"/>
      <c r="B3" s="317" t="s">
        <v>2</v>
      </c>
      <c r="C3" s="318" t="s">
        <v>3</v>
      </c>
      <c r="D3" s="319" t="s">
        <v>4</v>
      </c>
      <c r="E3" s="320" t="s">
        <v>1</v>
      </c>
      <c r="F3" s="317" t="s">
        <v>2</v>
      </c>
      <c r="G3" s="318" t="s">
        <v>3</v>
      </c>
      <c r="H3" s="318" t="str">
        <f>'[5]2018 - 2020 Budget'!I3</f>
        <v>UNEP</v>
      </c>
      <c r="I3" s="320" t="s">
        <v>1</v>
      </c>
      <c r="J3" s="321" t="s">
        <v>2</v>
      </c>
      <c r="K3" s="322" t="str">
        <f>'[6]2018 - 2020 Budget'!H35</f>
        <v>UNDP</v>
      </c>
      <c r="L3" s="322" t="str">
        <f>'[7]2018 - 2020 Budget'!I3</f>
        <v>UNEP</v>
      </c>
      <c r="M3" s="323" t="s">
        <v>1</v>
      </c>
      <c r="N3" s="317" t="s">
        <v>2</v>
      </c>
      <c r="O3" s="318" t="s">
        <v>3</v>
      </c>
      <c r="P3" s="318" t="s">
        <v>4</v>
      </c>
      <c r="Q3" s="320" t="s">
        <v>1</v>
      </c>
      <c r="R3" s="535"/>
      <c r="S3" s="317" t="s">
        <v>2</v>
      </c>
      <c r="T3" s="317" t="s">
        <v>3</v>
      </c>
      <c r="U3" s="317" t="s">
        <v>4</v>
      </c>
      <c r="V3" s="317" t="s">
        <v>1</v>
      </c>
    </row>
    <row r="4" spans="1:23" x14ac:dyDescent="0.3">
      <c r="A4" s="324" t="s">
        <v>5</v>
      </c>
      <c r="B4" s="325">
        <f t="shared" ref="B4:V4" si="0">B5+B9+B13</f>
        <v>1988598</v>
      </c>
      <c r="C4" s="326">
        <f t="shared" si="0"/>
        <v>1891720</v>
      </c>
      <c r="D4" s="326">
        <f t="shared" si="0"/>
        <v>657924</v>
      </c>
      <c r="E4" s="327">
        <f t="shared" si="0"/>
        <v>4538242</v>
      </c>
      <c r="F4" s="328">
        <f t="shared" si="0"/>
        <v>1988599</v>
      </c>
      <c r="G4" s="328">
        <f t="shared" si="0"/>
        <v>1876540</v>
      </c>
      <c r="H4" s="328">
        <f t="shared" si="0"/>
        <v>657924</v>
      </c>
      <c r="I4" s="328">
        <f t="shared" si="0"/>
        <v>4523063</v>
      </c>
      <c r="J4" s="329">
        <f t="shared" si="0"/>
        <v>1988598.0495837554</v>
      </c>
      <c r="K4" s="329">
        <f t="shared" si="0"/>
        <v>1861063.78</v>
      </c>
      <c r="L4" s="329">
        <f t="shared" si="0"/>
        <v>657924.19999999995</v>
      </c>
      <c r="M4" s="329">
        <f t="shared" si="0"/>
        <v>4507586.0295837559</v>
      </c>
      <c r="N4" s="328">
        <f t="shared" si="0"/>
        <v>1988598</v>
      </c>
      <c r="O4" s="328">
        <f t="shared" si="0"/>
        <v>1827520</v>
      </c>
      <c r="P4" s="328">
        <f t="shared" si="0"/>
        <v>657924</v>
      </c>
      <c r="Q4" s="328">
        <f t="shared" si="0"/>
        <v>4474042</v>
      </c>
      <c r="R4" s="328">
        <f t="shared" si="0"/>
        <v>13515270.569583755</v>
      </c>
      <c r="S4" s="328">
        <f t="shared" si="0"/>
        <v>-0.95041624462464824</v>
      </c>
      <c r="T4" s="328">
        <f t="shared" si="0"/>
        <v>-15476.22000000003</v>
      </c>
      <c r="U4" s="328">
        <f t="shared" si="0"/>
        <v>0.1999999999825377</v>
      </c>
      <c r="V4" s="328">
        <f t="shared" si="0"/>
        <v>-15476.970416244585</v>
      </c>
    </row>
    <row r="5" spans="1:23" ht="20.149999999999999" customHeight="1" x14ac:dyDescent="0.3">
      <c r="A5" s="330" t="s">
        <v>6</v>
      </c>
      <c r="B5" s="331">
        <f t="shared" ref="B5:G5" si="1">SUM(B6:B8)</f>
        <v>660336</v>
      </c>
      <c r="C5" s="332">
        <f t="shared" si="1"/>
        <v>439580</v>
      </c>
      <c r="D5" s="332">
        <f t="shared" si="1"/>
        <v>189300</v>
      </c>
      <c r="E5" s="333">
        <f t="shared" si="1"/>
        <v>1289216</v>
      </c>
      <c r="F5" s="331">
        <f t="shared" si="1"/>
        <v>660337</v>
      </c>
      <c r="G5" s="334">
        <f t="shared" si="1"/>
        <v>389220</v>
      </c>
      <c r="H5" s="333">
        <f>H6+H7+H8</f>
        <v>189300</v>
      </c>
      <c r="I5" s="333">
        <f>H5+G5+F5</f>
        <v>1238857</v>
      </c>
      <c r="J5" s="335">
        <f>J6+J7+J8</f>
        <v>660336.17367055023</v>
      </c>
      <c r="K5" s="335">
        <f>K6+K7+K8</f>
        <v>402241.67</v>
      </c>
      <c r="L5" s="335">
        <f>L6+L7+L8</f>
        <v>189300</v>
      </c>
      <c r="M5" s="335">
        <f>M6+M7+M8</f>
        <v>1251877.8436705503</v>
      </c>
      <c r="N5" s="331">
        <f>SUM(N6:N8)</f>
        <v>660336</v>
      </c>
      <c r="O5" s="332">
        <f>SUM(O6:O8)</f>
        <v>372880</v>
      </c>
      <c r="P5" s="332">
        <f>SUM(P6:P8)</f>
        <v>189300</v>
      </c>
      <c r="Q5" s="333">
        <f>SUM(N5:P5)</f>
        <v>1222516</v>
      </c>
      <c r="R5" s="336">
        <f>E5+M5+Q5</f>
        <v>3763609.8436705503</v>
      </c>
      <c r="S5" s="333">
        <f>J5-F5</f>
        <v>-0.8263294497737661</v>
      </c>
      <c r="T5" s="333">
        <f>K5-G5</f>
        <v>13021.669999999984</v>
      </c>
      <c r="U5" s="333">
        <f>L5-H5</f>
        <v>0</v>
      </c>
      <c r="V5" s="333">
        <f>M5-I5</f>
        <v>13020.843670550268</v>
      </c>
    </row>
    <row r="6" spans="1:23" ht="20.149999999999999" customHeight="1" x14ac:dyDescent="0.3">
      <c r="A6" s="359" t="s">
        <v>7</v>
      </c>
      <c r="B6" s="360">
        <v>202402</v>
      </c>
      <c r="C6" s="361">
        <v>366540</v>
      </c>
      <c r="D6" s="361">
        <v>95000</v>
      </c>
      <c r="E6" s="362">
        <f>SUM(B6:D6)</f>
        <v>663942</v>
      </c>
      <c r="F6" s="360">
        <f>'[8]2018 - 2020 Budget (2)'!F$6</f>
        <v>202402</v>
      </c>
      <c r="G6" s="360">
        <f>'[8]2018 - 2020 Budget (2)'!G$6</f>
        <v>352700</v>
      </c>
      <c r="H6" s="360">
        <f>'[8]2018 - 2020 Budget (2)'!H$6</f>
        <v>95000</v>
      </c>
      <c r="I6" s="360">
        <f>H6+G6+F6</f>
        <v>650102</v>
      </c>
      <c r="J6" s="363">
        <f>'Cote d''Ivoire'!C44</f>
        <v>202401.95069516427</v>
      </c>
      <c r="K6" s="363">
        <f>'Cote d''Ivoire'!D44</f>
        <v>374708.67</v>
      </c>
      <c r="L6" s="363">
        <f>'Cote d''Ivoire'!E44</f>
        <v>95000</v>
      </c>
      <c r="M6" s="363">
        <f>L6+K6+J6</f>
        <v>672110.62069516419</v>
      </c>
      <c r="N6" s="360">
        <f>'[8]2018 - 2020 Budget (2)'!N$6</f>
        <v>202402</v>
      </c>
      <c r="O6" s="360">
        <f>'[8]2018 - 2020 Budget (2)'!O$6</f>
        <v>338860</v>
      </c>
      <c r="P6" s="360">
        <f>'[8]2018 - 2020 Budget (2)'!P$6</f>
        <v>95000</v>
      </c>
      <c r="Q6" s="360">
        <f>'[8]2018 - 2020 Budget (2)'!Q$6</f>
        <v>636262</v>
      </c>
      <c r="R6" s="360">
        <f>'[8]2018 - 2020 Budget (2)'!R$6</f>
        <v>1816129</v>
      </c>
      <c r="S6" s="337">
        <f t="shared" ref="S6:S27" si="2">J6-F6</f>
        <v>-4.9304835731163621E-2</v>
      </c>
      <c r="T6" s="337">
        <f t="shared" ref="T6:U9" si="3">K6-G6</f>
        <v>22008.669999999984</v>
      </c>
      <c r="U6" s="337">
        <f t="shared" si="3"/>
        <v>0</v>
      </c>
      <c r="V6" s="337">
        <f t="shared" ref="V6:V27" si="4">M6-I6</f>
        <v>22008.620695164194</v>
      </c>
    </row>
    <row r="7" spans="1:23" ht="20.149999999999999" customHeight="1" x14ac:dyDescent="0.3">
      <c r="A7" s="359" t="s">
        <v>8</v>
      </c>
      <c r="B7" s="360">
        <v>240352</v>
      </c>
      <c r="C7" s="361">
        <v>0</v>
      </c>
      <c r="D7" s="361">
        <v>0</v>
      </c>
      <c r="E7" s="362">
        <f>SUM(B7:D7)</f>
        <v>240352</v>
      </c>
      <c r="F7" s="360">
        <f>'[8]2018 - 2020 Budget (2)'!F$7</f>
        <v>240352</v>
      </c>
      <c r="G7" s="360">
        <f>'[8]2018 - 2020 Budget (2)'!G$7</f>
        <v>0</v>
      </c>
      <c r="H7" s="360">
        <f>'[8]2018 - 2020 Budget (2)'!H$7</f>
        <v>0</v>
      </c>
      <c r="I7" s="360">
        <f t="shared" ref="I7:I14" si="5">F7+G7+H7</f>
        <v>240352</v>
      </c>
      <c r="J7" s="363">
        <f>'Rep of Congo'!C29</f>
        <v>240352.22297538599</v>
      </c>
      <c r="K7" s="363">
        <f>'Rep of Congo'!D29</f>
        <v>0</v>
      </c>
      <c r="L7" s="363">
        <f>'Rep of Congo'!E29</f>
        <v>0</v>
      </c>
      <c r="M7" s="363">
        <f t="shared" ref="M7:M24" si="6">L7+K7+J7</f>
        <v>240352.22297538599</v>
      </c>
      <c r="N7" s="360">
        <v>240352</v>
      </c>
      <c r="O7" s="361">
        <v>0</v>
      </c>
      <c r="P7" s="361">
        <v>0</v>
      </c>
      <c r="Q7" s="362">
        <f>SUM(N7:P7)</f>
        <v>240352</v>
      </c>
      <c r="R7" s="364">
        <f>E7+M7+Q7</f>
        <v>721056.22297538596</v>
      </c>
      <c r="S7" s="337">
        <f t="shared" si="2"/>
        <v>0.22297538598650135</v>
      </c>
      <c r="T7" s="337">
        <f t="shared" si="3"/>
        <v>0</v>
      </c>
      <c r="U7" s="337">
        <f t="shared" si="3"/>
        <v>0</v>
      </c>
      <c r="V7" s="337">
        <f t="shared" si="4"/>
        <v>0.22297538598650135</v>
      </c>
    </row>
    <row r="8" spans="1:23" ht="20.149999999999999" customHeight="1" x14ac:dyDescent="0.3">
      <c r="A8" s="359" t="s">
        <v>9</v>
      </c>
      <c r="B8" s="360">
        <v>217582</v>
      </c>
      <c r="C8" s="361">
        <v>73040</v>
      </c>
      <c r="D8" s="361">
        <v>94300</v>
      </c>
      <c r="E8" s="362">
        <f>SUM(B8:D8)</f>
        <v>384922</v>
      </c>
      <c r="F8" s="360">
        <f>'[8]2018 - 2020 Budget (2)'!F$9</f>
        <v>217583</v>
      </c>
      <c r="G8" s="360">
        <f>'[8]2018 - 2020 Budget (2)'!G$9</f>
        <v>36520</v>
      </c>
      <c r="H8" s="360">
        <f>'[8]2018 - 2020 Budget (2)'!H$9</f>
        <v>94300</v>
      </c>
      <c r="I8" s="360">
        <f t="shared" si="5"/>
        <v>348403</v>
      </c>
      <c r="J8" s="363">
        <f>Zambia!C44</f>
        <v>217582</v>
      </c>
      <c r="K8" s="363">
        <f>Zambia!D44</f>
        <v>27533</v>
      </c>
      <c r="L8" s="363">
        <f>Zambia!E44</f>
        <v>94300</v>
      </c>
      <c r="M8" s="363">
        <f t="shared" si="6"/>
        <v>339415</v>
      </c>
      <c r="N8" s="360">
        <v>217582</v>
      </c>
      <c r="O8" s="361">
        <v>34020</v>
      </c>
      <c r="P8" s="361">
        <v>94300</v>
      </c>
      <c r="Q8" s="362">
        <f t="shared" ref="Q8:Q14" si="7">SUM(N8:P8)</f>
        <v>345902</v>
      </c>
      <c r="R8" s="364">
        <f t="shared" ref="R8:R23" si="8">E8+M8+Q8</f>
        <v>1070239</v>
      </c>
      <c r="S8" s="337">
        <f t="shared" si="2"/>
        <v>-1</v>
      </c>
      <c r="T8" s="337">
        <f t="shared" si="3"/>
        <v>-8987</v>
      </c>
      <c r="U8" s="337">
        <f t="shared" si="3"/>
        <v>0</v>
      </c>
      <c r="V8" s="337">
        <f t="shared" si="4"/>
        <v>-8988</v>
      </c>
    </row>
    <row r="9" spans="1:23" ht="20.149999999999999" customHeight="1" x14ac:dyDescent="0.3">
      <c r="A9" s="330" t="s">
        <v>10</v>
      </c>
      <c r="B9" s="365">
        <f t="shared" ref="B9:H9" si="9">SUM(B10:B12)</f>
        <v>834908</v>
      </c>
      <c r="C9" s="366">
        <f t="shared" si="9"/>
        <v>533960</v>
      </c>
      <c r="D9" s="366">
        <f t="shared" si="9"/>
        <v>231000</v>
      </c>
      <c r="E9" s="367">
        <f t="shared" si="9"/>
        <v>1599868</v>
      </c>
      <c r="F9" s="365">
        <f t="shared" si="9"/>
        <v>834908</v>
      </c>
      <c r="G9" s="366">
        <f t="shared" si="9"/>
        <v>550300</v>
      </c>
      <c r="H9" s="366">
        <f t="shared" si="9"/>
        <v>231000</v>
      </c>
      <c r="I9" s="366">
        <f t="shared" si="5"/>
        <v>1616208</v>
      </c>
      <c r="J9" s="368">
        <f>J10+J11+J12</f>
        <v>834907.08446736203</v>
      </c>
      <c r="K9" s="368">
        <f>K10+K11+K12</f>
        <v>539798.65</v>
      </c>
      <c r="L9" s="368">
        <f>L10+L11+L12</f>
        <v>231000</v>
      </c>
      <c r="M9" s="368">
        <f>M10+M11+M12</f>
        <v>1605705.7344673621</v>
      </c>
      <c r="N9" s="365">
        <f>SUM(N10:N12)</f>
        <v>834908</v>
      </c>
      <c r="O9" s="366">
        <f>SUM(O10:O12)</f>
        <v>547800</v>
      </c>
      <c r="P9" s="366">
        <f>SUM(P10:P12)</f>
        <v>231000</v>
      </c>
      <c r="Q9" s="367">
        <f t="shared" si="7"/>
        <v>1613708</v>
      </c>
      <c r="R9" s="336">
        <f t="shared" si="8"/>
        <v>4819281.7344673621</v>
      </c>
      <c r="S9" s="333">
        <f t="shared" si="2"/>
        <v>-0.91553263796959072</v>
      </c>
      <c r="T9" s="333">
        <f t="shared" si="3"/>
        <v>-10501.349999999977</v>
      </c>
      <c r="U9" s="333">
        <f t="shared" si="3"/>
        <v>0</v>
      </c>
      <c r="V9" s="333">
        <f t="shared" si="4"/>
        <v>-10502.265532637946</v>
      </c>
    </row>
    <row r="10" spans="1:23" ht="20.149999999999999" customHeight="1" x14ac:dyDescent="0.3">
      <c r="A10" s="369" t="s">
        <v>11</v>
      </c>
      <c r="B10" s="360">
        <v>442755</v>
      </c>
      <c r="C10" s="361">
        <v>241800</v>
      </c>
      <c r="D10" s="361">
        <v>185000</v>
      </c>
      <c r="E10" s="362">
        <f>SUM(B10:D10)</f>
        <v>869555</v>
      </c>
      <c r="F10" s="360">
        <f>'[8]2018 - 2020 Budget (2)'!F$11</f>
        <v>442755</v>
      </c>
      <c r="G10" s="360">
        <f>'[8]2018 - 2020 Budget (2)'!G$11</f>
        <v>216620</v>
      </c>
      <c r="H10" s="360">
        <f>'[8]2018 - 2020 Budget (2)'!H$11</f>
        <v>185000</v>
      </c>
      <c r="I10" s="360">
        <f t="shared" si="5"/>
        <v>844375</v>
      </c>
      <c r="J10" s="363">
        <f>Indonesia!C41</f>
        <v>442754</v>
      </c>
      <c r="K10" s="363">
        <f>Indonesia!D41</f>
        <v>207110.49</v>
      </c>
      <c r="L10" s="363">
        <f>Indonesia!E41</f>
        <v>185000</v>
      </c>
      <c r="M10" s="363">
        <f t="shared" si="6"/>
        <v>834864.49</v>
      </c>
      <c r="N10" s="360">
        <v>442755</v>
      </c>
      <c r="O10" s="361">
        <v>191440</v>
      </c>
      <c r="P10" s="361">
        <v>185000</v>
      </c>
      <c r="Q10" s="362">
        <f t="shared" si="7"/>
        <v>819195</v>
      </c>
      <c r="R10" s="364">
        <f t="shared" si="8"/>
        <v>2523614.4900000002</v>
      </c>
      <c r="S10" s="337">
        <f t="shared" si="2"/>
        <v>-1</v>
      </c>
      <c r="T10" s="337">
        <f t="shared" ref="T10:T27" si="10">K10-G10</f>
        <v>-9509.5100000000093</v>
      </c>
      <c r="U10" s="337">
        <f t="shared" ref="U10:U27" si="11">L10-H10</f>
        <v>0</v>
      </c>
      <c r="V10" s="337">
        <f t="shared" si="4"/>
        <v>-9510.5100000000093</v>
      </c>
    </row>
    <row r="11" spans="1:23" ht="20.149999999999999" customHeight="1" x14ac:dyDescent="0.3">
      <c r="A11" s="359" t="s">
        <v>12</v>
      </c>
      <c r="B11" s="360">
        <v>189751</v>
      </c>
      <c r="C11" s="361">
        <v>157420</v>
      </c>
      <c r="D11" s="361">
        <v>46000</v>
      </c>
      <c r="E11" s="362">
        <f>SUM(B11:D11)</f>
        <v>393171</v>
      </c>
      <c r="F11" s="360">
        <f>'[8]2018 - 2020 Budget (2)'!F$12</f>
        <v>189751</v>
      </c>
      <c r="G11" s="360">
        <f>'[8]2018 - 2020 Budget (2)'!G$12</f>
        <v>171260</v>
      </c>
      <c r="H11" s="360">
        <f>'[8]2018 - 2020 Budget (2)'!H$12</f>
        <v>46000</v>
      </c>
      <c r="I11" s="360">
        <f t="shared" si="5"/>
        <v>407011</v>
      </c>
      <c r="J11" s="363">
        <f>Myanmar!C36</f>
        <v>189751.49287153597</v>
      </c>
      <c r="K11" s="363">
        <f>Myanmar!D36</f>
        <v>163707.78</v>
      </c>
      <c r="L11" s="363">
        <f>Myanmar!E36</f>
        <v>46000</v>
      </c>
      <c r="M11" s="363">
        <f t="shared" si="6"/>
        <v>399459.27287153597</v>
      </c>
      <c r="N11" s="360">
        <v>189751</v>
      </c>
      <c r="O11" s="361">
        <v>207780</v>
      </c>
      <c r="P11" s="361">
        <v>46000</v>
      </c>
      <c r="Q11" s="362">
        <f t="shared" si="7"/>
        <v>443531</v>
      </c>
      <c r="R11" s="364">
        <f t="shared" si="8"/>
        <v>1236161.272871536</v>
      </c>
      <c r="S11" s="337">
        <f t="shared" si="2"/>
        <v>0.49287153597106226</v>
      </c>
      <c r="T11" s="337">
        <f t="shared" si="10"/>
        <v>-7552.2200000000012</v>
      </c>
      <c r="U11" s="337">
        <f t="shared" si="11"/>
        <v>0</v>
      </c>
      <c r="V11" s="337">
        <f t="shared" si="4"/>
        <v>-7551.7271284640301</v>
      </c>
    </row>
    <row r="12" spans="1:23" ht="20.149999999999999" customHeight="1" x14ac:dyDescent="0.3">
      <c r="A12" s="359" t="s">
        <v>13</v>
      </c>
      <c r="B12" s="360">
        <v>202402</v>
      </c>
      <c r="C12" s="361">
        <v>134740</v>
      </c>
      <c r="D12" s="361"/>
      <c r="E12" s="362">
        <f>SUM(B12:D12)</f>
        <v>337142</v>
      </c>
      <c r="F12" s="360">
        <f>'[8]2018 - 2020 Budget (2)'!F$13</f>
        <v>202402</v>
      </c>
      <c r="G12" s="360">
        <f>'[8]2018 - 2020 Budget (2)'!G$13</f>
        <v>162420</v>
      </c>
      <c r="H12" s="360">
        <f>'[8]2018 - 2020 Budget (2)'!H$13</f>
        <v>0</v>
      </c>
      <c r="I12" s="360">
        <f t="shared" si="5"/>
        <v>364822</v>
      </c>
      <c r="J12" s="363">
        <f>'Viet Nam'!C32</f>
        <v>202401.59159582609</v>
      </c>
      <c r="K12" s="363">
        <f>'Viet Nam'!D32</f>
        <v>168980.38</v>
      </c>
      <c r="L12" s="363">
        <f>'Viet Nam'!E32</f>
        <v>0</v>
      </c>
      <c r="M12" s="363">
        <f t="shared" si="6"/>
        <v>371381.97159582609</v>
      </c>
      <c r="N12" s="360">
        <f>'[8]2018 - 2020 Budget (2)'!N$13</f>
        <v>202402</v>
      </c>
      <c r="O12" s="360">
        <f>'[8]2018 - 2020 Budget (2)'!O$13</f>
        <v>148580</v>
      </c>
      <c r="P12" s="360">
        <f>'[8]2018 - 2020 Budget (2)'!P$13</f>
        <v>0</v>
      </c>
      <c r="Q12" s="360">
        <f>'[8]2018 - 2020 Budget (2)'!Q$13</f>
        <v>350982</v>
      </c>
      <c r="R12" s="360">
        <f>'[8]2018 - 2020 Budget (2)'!R$13</f>
        <v>1048630</v>
      </c>
      <c r="S12" s="337">
        <f t="shared" si="2"/>
        <v>-0.40840417391154915</v>
      </c>
      <c r="T12" s="337">
        <f t="shared" si="10"/>
        <v>6560.3800000000047</v>
      </c>
      <c r="U12" s="337">
        <f t="shared" si="11"/>
        <v>0</v>
      </c>
      <c r="V12" s="337">
        <f t="shared" si="4"/>
        <v>6559.9715958260931</v>
      </c>
    </row>
    <row r="13" spans="1:23" ht="20.149999999999999" customHeight="1" x14ac:dyDescent="0.3">
      <c r="A13" s="330" t="s">
        <v>14</v>
      </c>
      <c r="B13" s="365">
        <f t="shared" ref="B13:H13" si="12">SUM(B14:B16)</f>
        <v>493354</v>
      </c>
      <c r="C13" s="366">
        <f t="shared" si="12"/>
        <v>918180</v>
      </c>
      <c r="D13" s="366">
        <f t="shared" si="12"/>
        <v>237624</v>
      </c>
      <c r="E13" s="367">
        <f t="shared" si="12"/>
        <v>1649158</v>
      </c>
      <c r="F13" s="365">
        <f t="shared" si="12"/>
        <v>493354</v>
      </c>
      <c r="G13" s="366">
        <f t="shared" si="12"/>
        <v>937020</v>
      </c>
      <c r="H13" s="366">
        <f t="shared" si="12"/>
        <v>237624</v>
      </c>
      <c r="I13" s="366">
        <f t="shared" si="5"/>
        <v>1667998</v>
      </c>
      <c r="J13" s="368">
        <f>J14+J15+J16</f>
        <v>493354.79144584312</v>
      </c>
      <c r="K13" s="368">
        <f t="shared" ref="K13:R13" si="13">K14+K15+K16</f>
        <v>919023.46</v>
      </c>
      <c r="L13" s="368">
        <f t="shared" si="13"/>
        <v>237624.19999999998</v>
      </c>
      <c r="M13" s="368">
        <f t="shared" si="13"/>
        <v>1650002.4514458431</v>
      </c>
      <c r="N13" s="368">
        <f t="shared" si="13"/>
        <v>493354</v>
      </c>
      <c r="O13" s="368">
        <f t="shared" si="13"/>
        <v>906840</v>
      </c>
      <c r="P13" s="368">
        <f t="shared" si="13"/>
        <v>237624</v>
      </c>
      <c r="Q13" s="368">
        <f t="shared" si="13"/>
        <v>1637818</v>
      </c>
      <c r="R13" s="368">
        <f t="shared" si="13"/>
        <v>4932378.9914458431</v>
      </c>
      <c r="S13" s="333">
        <f t="shared" si="2"/>
        <v>0.79144584311870858</v>
      </c>
      <c r="T13" s="333">
        <f>K13-G13</f>
        <v>-17996.540000000037</v>
      </c>
      <c r="U13" s="333">
        <f t="shared" si="11"/>
        <v>0.1999999999825377</v>
      </c>
      <c r="V13" s="333">
        <f t="shared" si="4"/>
        <v>-17995.548554156907</v>
      </c>
    </row>
    <row r="14" spans="1:23" ht="20.149999999999999" customHeight="1" x14ac:dyDescent="0.3">
      <c r="A14" s="359" t="s">
        <v>15</v>
      </c>
      <c r="B14" s="360">
        <v>227702</v>
      </c>
      <c r="C14" s="361">
        <v>227960</v>
      </c>
      <c r="D14" s="361">
        <v>58903</v>
      </c>
      <c r="E14" s="362">
        <f>SUM(B14:D14)</f>
        <v>514565</v>
      </c>
      <c r="F14" s="360">
        <f>'[8]2018 - 2020 Budget (2)'!F$15</f>
        <v>227702</v>
      </c>
      <c r="G14" s="360">
        <f>'[8]2018 - 2020 Budget (2)'!G$15</f>
        <v>244300</v>
      </c>
      <c r="H14" s="360">
        <f>'[8]2018 - 2020 Budget (2)'!H$15</f>
        <v>58903</v>
      </c>
      <c r="I14" s="360">
        <f t="shared" si="5"/>
        <v>530905</v>
      </c>
      <c r="J14" s="363">
        <f>Colombia!C53</f>
        <v>227701.79144584312</v>
      </c>
      <c r="K14" s="363">
        <f>Colombia!D53</f>
        <v>240241</v>
      </c>
      <c r="L14" s="363">
        <f>Colombia!E53</f>
        <v>58903.199999999997</v>
      </c>
      <c r="M14" s="363">
        <f t="shared" si="6"/>
        <v>526845.99144584313</v>
      </c>
      <c r="N14" s="360">
        <v>227702</v>
      </c>
      <c r="O14" s="361">
        <v>253140</v>
      </c>
      <c r="P14" s="361">
        <v>58903</v>
      </c>
      <c r="Q14" s="362">
        <f t="shared" si="7"/>
        <v>539745</v>
      </c>
      <c r="R14" s="364">
        <f t="shared" si="8"/>
        <v>1581155.9914458431</v>
      </c>
      <c r="S14" s="337">
        <f t="shared" si="2"/>
        <v>-0.20855415688129142</v>
      </c>
      <c r="T14" s="337">
        <f t="shared" si="10"/>
        <v>-4059</v>
      </c>
      <c r="U14" s="337">
        <f t="shared" si="11"/>
        <v>0.19999999999708962</v>
      </c>
      <c r="V14" s="337">
        <f t="shared" si="4"/>
        <v>-4059.0085541568696</v>
      </c>
    </row>
    <row r="15" spans="1:23" ht="20.149999999999999" customHeight="1" x14ac:dyDescent="0.3">
      <c r="A15" s="359" t="s">
        <v>16</v>
      </c>
      <c r="B15" s="360">
        <v>151801</v>
      </c>
      <c r="C15" s="361">
        <v>289660</v>
      </c>
      <c r="D15" s="361">
        <v>85126</v>
      </c>
      <c r="E15" s="362">
        <f>SUM(B15:D15)</f>
        <v>526587</v>
      </c>
      <c r="F15" s="360">
        <f>'[8]2018 - 2020 Budget (2)'!F$16</f>
        <v>151801</v>
      </c>
      <c r="G15" s="360">
        <f>'[8]2018 - 2020 Budget (2)'!G$16</f>
        <v>264480</v>
      </c>
      <c r="H15" s="360">
        <f>'[8]2018 - 2020 Budget (2)'!H$16</f>
        <v>85126</v>
      </c>
      <c r="I15" s="360">
        <f>H15+G15+F15</f>
        <v>501407</v>
      </c>
      <c r="J15" s="363">
        <f>Mexico!C42</f>
        <v>151801</v>
      </c>
      <c r="K15" s="363">
        <f>Mexico!D42</f>
        <v>213692.46000000002</v>
      </c>
      <c r="L15" s="363">
        <f>Mexico!E42</f>
        <v>85125.666666666672</v>
      </c>
      <c r="M15" s="363">
        <f t="shared" si="6"/>
        <v>450619.12666666671</v>
      </c>
      <c r="N15" s="360">
        <f>'[8]2018 - 2020 Budget (2)'!N$16</f>
        <v>151801</v>
      </c>
      <c r="O15" s="360">
        <f>'[8]2018 - 2020 Budget (2)'!O$16</f>
        <v>239300</v>
      </c>
      <c r="P15" s="360">
        <f>'[8]2018 - 2020 Budget (2)'!P$16</f>
        <v>85126</v>
      </c>
      <c r="Q15" s="360">
        <f>'[8]2018 - 2020 Budget (2)'!Q$16</f>
        <v>476227</v>
      </c>
      <c r="R15" s="360">
        <f>'[8]2018 - 2020 Budget (2)'!R$16</f>
        <v>1453433</v>
      </c>
      <c r="S15" s="337">
        <f t="shared" si="2"/>
        <v>0</v>
      </c>
      <c r="T15" s="337">
        <f t="shared" si="10"/>
        <v>-50787.539999999979</v>
      </c>
      <c r="U15" s="337">
        <f t="shared" si="11"/>
        <v>-0.33333333332848269</v>
      </c>
      <c r="V15" s="337">
        <f t="shared" si="4"/>
        <v>-50787.873333333293</v>
      </c>
    </row>
    <row r="16" spans="1:23" ht="20.149999999999999" customHeight="1" x14ac:dyDescent="0.3">
      <c r="A16" s="359" t="s">
        <v>17</v>
      </c>
      <c r="B16" s="360">
        <v>113851</v>
      </c>
      <c r="C16" s="361">
        <v>400560</v>
      </c>
      <c r="D16" s="370">
        <v>93595</v>
      </c>
      <c r="E16" s="362">
        <f>SUM(B16:D16)</f>
        <v>608006</v>
      </c>
      <c r="F16" s="360">
        <f>'[8]2018 - 2020 Budget (2)'!F$17</f>
        <v>113851</v>
      </c>
      <c r="G16" s="360">
        <f>'[8]2018 - 2020 Budget (2)'!G$17</f>
        <v>428240</v>
      </c>
      <c r="H16" s="360">
        <f>'[8]2018 - 2020 Budget (2)'!H$17</f>
        <v>93595</v>
      </c>
      <c r="I16" s="360">
        <f>F16+G16+H16</f>
        <v>635686</v>
      </c>
      <c r="J16" s="363">
        <f>Peru!C49</f>
        <v>113852</v>
      </c>
      <c r="K16" s="363">
        <f>Peru!D49</f>
        <v>465090</v>
      </c>
      <c r="L16" s="363">
        <f>Peru!E49</f>
        <v>93595.333333333314</v>
      </c>
      <c r="M16" s="363">
        <f t="shared" si="6"/>
        <v>672537.33333333326</v>
      </c>
      <c r="N16" s="360">
        <f>'[8]2018 - 2020 Budget (2)'!N$17</f>
        <v>113851</v>
      </c>
      <c r="O16" s="360">
        <f>'[8]2018 - 2020 Budget (2)'!O$17</f>
        <v>414400</v>
      </c>
      <c r="P16" s="360">
        <f>'[8]2018 - 2020 Budget (2)'!P$17</f>
        <v>93595</v>
      </c>
      <c r="Q16" s="360">
        <f>'[8]2018 - 2020 Budget (2)'!Q$17</f>
        <v>621846</v>
      </c>
      <c r="R16" s="360">
        <f>'[8]2018 - 2020 Budget (2)'!R$17</f>
        <v>1897790</v>
      </c>
      <c r="S16" s="337">
        <f t="shared" si="2"/>
        <v>1</v>
      </c>
      <c r="T16" s="337">
        <f t="shared" si="10"/>
        <v>36850</v>
      </c>
      <c r="U16" s="337">
        <f t="shared" si="11"/>
        <v>0.33333333331393078</v>
      </c>
      <c r="V16" s="337">
        <f t="shared" si="4"/>
        <v>36851.333333333256</v>
      </c>
    </row>
    <row r="17" spans="1:22" ht="20.149999999999999" customHeight="1" x14ac:dyDescent="0.3">
      <c r="A17" s="324" t="s">
        <v>18</v>
      </c>
      <c r="B17" s="338">
        <f>SUM(B18:B24)</f>
        <v>817298</v>
      </c>
      <c r="C17" s="339">
        <f>SUM(C18:C24)</f>
        <v>1488020</v>
      </c>
      <c r="D17" s="339">
        <f>SUM(D18:D24)</f>
        <v>1870000</v>
      </c>
      <c r="E17" s="340">
        <f>SUM(E18:E24)</f>
        <v>4175318</v>
      </c>
      <c r="F17" s="338">
        <f>F18+F19+F20+F21+F22+F23+F24</f>
        <v>817297</v>
      </c>
      <c r="G17" s="338">
        <f>G18+G19+G20+G21+G22+G23+G24</f>
        <v>1522040</v>
      </c>
      <c r="H17" s="338">
        <f>H18+H19+H20+H21+H22+H23+H24</f>
        <v>1870000</v>
      </c>
      <c r="I17" s="338">
        <f>I18+I19+I20+I21+I22+I23+I24</f>
        <v>4209337</v>
      </c>
      <c r="J17" s="341">
        <f t="shared" ref="J17:R17" si="14">J18+J19+J20+J21+J22+J23+J24</f>
        <v>817297.6229436968</v>
      </c>
      <c r="K17" s="341">
        <f t="shared" si="14"/>
        <v>2292515.9050000003</v>
      </c>
      <c r="L17" s="341">
        <f t="shared" si="14"/>
        <v>1870000</v>
      </c>
      <c r="M17" s="341">
        <f t="shared" si="14"/>
        <v>4979813.5279436968</v>
      </c>
      <c r="N17" s="338">
        <f t="shared" si="14"/>
        <v>4874629</v>
      </c>
      <c r="O17" s="338">
        <f t="shared" si="14"/>
        <v>1037820</v>
      </c>
      <c r="P17" s="338">
        <f t="shared" si="14"/>
        <v>1403000</v>
      </c>
      <c r="Q17" s="338">
        <f t="shared" si="14"/>
        <v>2725971</v>
      </c>
      <c r="R17" s="338">
        <f t="shared" si="14"/>
        <v>8806391.9100207966</v>
      </c>
      <c r="S17" s="328">
        <f t="shared" si="2"/>
        <v>0.62294369679875672</v>
      </c>
      <c r="T17" s="328">
        <f>K17-G17</f>
        <v>770475.90500000026</v>
      </c>
      <c r="U17" s="328">
        <f t="shared" si="11"/>
        <v>0</v>
      </c>
      <c r="V17" s="328">
        <f t="shared" si="4"/>
        <v>770476.52794369683</v>
      </c>
    </row>
    <row r="18" spans="1:22" ht="20.149999999999999" customHeight="1" x14ac:dyDescent="0.3">
      <c r="A18" s="359" t="s">
        <v>19</v>
      </c>
      <c r="B18" s="342">
        <v>210152</v>
      </c>
      <c r="C18" s="343"/>
      <c r="D18" s="343">
        <v>94000</v>
      </c>
      <c r="E18" s="344">
        <f t="shared" ref="E18:E24" si="15">SUM(B18:D18)</f>
        <v>304152</v>
      </c>
      <c r="F18" s="352">
        <f>'[5]2018 - 2020 Budget'!G$18</f>
        <v>210151</v>
      </c>
      <c r="G18" s="352">
        <f>'[5]2018 - 2020 Budget'!H$18</f>
        <v>0</v>
      </c>
      <c r="H18" s="352">
        <f>'[5]2018 - 2020 Budget'!I$18</f>
        <v>94000</v>
      </c>
      <c r="I18" s="352">
        <f>'[5]2018 - 2020 Budget'!J$18</f>
        <v>304151</v>
      </c>
      <c r="J18" s="355">
        <f>'Landscapes Approach'!C36</f>
        <v>210151.95502079604</v>
      </c>
      <c r="K18" s="355">
        <f>'Landscapes Approach'!D36</f>
        <v>0</v>
      </c>
      <c r="L18" s="355">
        <f>'Landscapes Approach'!E36</f>
        <v>94000</v>
      </c>
      <c r="M18" s="355">
        <f t="shared" si="6"/>
        <v>304151.95502079604</v>
      </c>
      <c r="N18" s="352">
        <v>210151</v>
      </c>
      <c r="O18" s="353"/>
      <c r="P18" s="353">
        <v>94000</v>
      </c>
      <c r="Q18" s="354">
        <f t="shared" ref="Q18:Q23" si="16">SUM(N18:P18)</f>
        <v>304151</v>
      </c>
      <c r="R18" s="371">
        <f t="shared" si="8"/>
        <v>912454.95502079604</v>
      </c>
      <c r="S18" s="337">
        <f t="shared" si="2"/>
        <v>0.95502079604193568</v>
      </c>
      <c r="T18" s="337">
        <f t="shared" si="10"/>
        <v>0</v>
      </c>
      <c r="U18" s="337">
        <f t="shared" si="11"/>
        <v>0</v>
      </c>
      <c r="V18" s="337">
        <f t="shared" si="4"/>
        <v>0.95502079604193568</v>
      </c>
    </row>
    <row r="19" spans="1:22" ht="20.149999999999999" customHeight="1" x14ac:dyDescent="0.3">
      <c r="A19" s="359" t="s">
        <v>20</v>
      </c>
      <c r="B19" s="342"/>
      <c r="C19" s="343"/>
      <c r="D19" s="343">
        <v>467000</v>
      </c>
      <c r="E19" s="344">
        <f t="shared" si="15"/>
        <v>467000</v>
      </c>
      <c r="F19" s="352">
        <f>'[5]2018 - 2020 Budget'!G$19</f>
        <v>0</v>
      </c>
      <c r="G19" s="352">
        <f>'[5]2018 - 2020 Budget'!H$19</f>
        <v>0</v>
      </c>
      <c r="H19" s="352">
        <f>'[5]2018 - 2020 Budget'!I$19</f>
        <v>467000</v>
      </c>
      <c r="I19" s="352">
        <f>'[5]2018 - 2020 Budget'!J$19</f>
        <v>467000</v>
      </c>
      <c r="J19" s="355">
        <f>'Financing &amp; Private Sector'!C24</f>
        <v>0</v>
      </c>
      <c r="K19" s="355">
        <f>'Financing &amp; Private Sector'!D24</f>
        <v>0</v>
      </c>
      <c r="L19" s="355">
        <f>'Financing &amp; Private Sector'!E24</f>
        <v>467000</v>
      </c>
      <c r="M19" s="355">
        <f t="shared" si="6"/>
        <v>467000</v>
      </c>
      <c r="N19" s="352">
        <f>'[5]2018 - 2020 Budget'!O$19</f>
        <v>1401000</v>
      </c>
      <c r="O19" s="352">
        <f>'[5]2018 - 2020 Budget'!P$19</f>
        <v>0</v>
      </c>
      <c r="P19" s="352">
        <f>'[5]2018 - 2020 Budget'!Q$19</f>
        <v>0</v>
      </c>
      <c r="Q19" s="352">
        <f>'[5]2018 - 2020 Budget'!R$19</f>
        <v>0</v>
      </c>
      <c r="R19" s="352">
        <f>'[5]2018 - 2020 Budget'!S$19</f>
        <v>0</v>
      </c>
      <c r="S19" s="337">
        <f t="shared" si="2"/>
        <v>0</v>
      </c>
      <c r="T19" s="337">
        <f t="shared" si="10"/>
        <v>0</v>
      </c>
      <c r="U19" s="337">
        <f t="shared" si="11"/>
        <v>0</v>
      </c>
      <c r="V19" s="337">
        <f t="shared" si="4"/>
        <v>0</v>
      </c>
    </row>
    <row r="20" spans="1:22" ht="20.149999999999999" customHeight="1" x14ac:dyDescent="0.3">
      <c r="A20" s="359" t="s">
        <v>21</v>
      </c>
      <c r="B20" s="342">
        <v>208943</v>
      </c>
      <c r="C20" s="343">
        <v>495560</v>
      </c>
      <c r="D20" s="343"/>
      <c r="E20" s="344">
        <f t="shared" si="15"/>
        <v>704503</v>
      </c>
      <c r="F20" s="352">
        <f>'[5]2018 - 2020 Budget'!G$20</f>
        <v>208943</v>
      </c>
      <c r="G20" s="352">
        <f>'[5]2018 - 2020 Budget'!H$20</f>
        <v>518240</v>
      </c>
      <c r="H20" s="352">
        <f>'[5]2018 - 2020 Budget'!I$20</f>
        <v>0</v>
      </c>
      <c r="I20" s="352">
        <f>'[5]2018 - 2020 Budget'!J$20</f>
        <v>727183</v>
      </c>
      <c r="J20" s="355">
        <f>'Tenure &amp; IP Rights'!C33</f>
        <v>208942.69637081883</v>
      </c>
      <c r="K20" s="355">
        <f>'Tenure &amp; IP Rights'!D33</f>
        <v>580858.94999999995</v>
      </c>
      <c r="L20" s="355">
        <f>'Tenure &amp; IP Rights'!E33</f>
        <v>0</v>
      </c>
      <c r="M20" s="355">
        <f t="shared" si="6"/>
        <v>789801.64637081884</v>
      </c>
      <c r="N20" s="352">
        <f>'[5]2018 - 2020 Budget'!O$20</f>
        <v>2158869</v>
      </c>
      <c r="O20" s="352">
        <f>'[5]2018 - 2020 Budget'!P$20</f>
        <v>0</v>
      </c>
      <c r="P20" s="352">
        <f>'[5]2018 - 2020 Budget'!Q$20</f>
        <v>0</v>
      </c>
      <c r="Q20" s="352">
        <f>'[5]2018 - 2020 Budget'!R$20</f>
        <v>0</v>
      </c>
      <c r="R20" s="352">
        <f>'[5]2018 - 2020 Budget'!S$20</f>
        <v>0</v>
      </c>
      <c r="S20" s="337">
        <f t="shared" si="2"/>
        <v>-0.3036291811731644</v>
      </c>
      <c r="T20" s="337">
        <f t="shared" si="10"/>
        <v>62618.949999999953</v>
      </c>
      <c r="U20" s="337">
        <f t="shared" si="11"/>
        <v>0</v>
      </c>
      <c r="V20" s="337">
        <f t="shared" si="4"/>
        <v>62618.646370818838</v>
      </c>
    </row>
    <row r="21" spans="1:22" ht="20.149999999999999" customHeight="1" x14ac:dyDescent="0.3">
      <c r="A21" s="359" t="s">
        <v>22</v>
      </c>
      <c r="B21" s="342">
        <v>323203</v>
      </c>
      <c r="C21" s="343"/>
      <c r="D21" s="343"/>
      <c r="E21" s="344">
        <f t="shared" si="15"/>
        <v>323203</v>
      </c>
      <c r="F21" s="352">
        <f>'[5]2018 - 2020 Budget'!G$21</f>
        <v>323203</v>
      </c>
      <c r="G21" s="352">
        <f>'[5]2018 - 2020 Budget'!H$21</f>
        <v>0</v>
      </c>
      <c r="H21" s="352">
        <f>'[5]2018 - 2020 Budget'!I$21</f>
        <v>0</v>
      </c>
      <c r="I21" s="352">
        <f>'[5]2018 - 2020 Budget'!J$21</f>
        <v>323203</v>
      </c>
      <c r="J21" s="355">
        <f>NFMS!C25</f>
        <v>323202.97155208187</v>
      </c>
      <c r="K21" s="355">
        <f>NFMS!D25</f>
        <v>0</v>
      </c>
      <c r="L21" s="355">
        <f>NFMS!E25</f>
        <v>0</v>
      </c>
      <c r="M21" s="355">
        <f t="shared" si="6"/>
        <v>323202.97155208187</v>
      </c>
      <c r="N21" s="352">
        <f>'[5]2018 - 2020 Budget'!O$21</f>
        <v>1029609</v>
      </c>
      <c r="O21" s="352">
        <f>'[5]2018 - 2020 Budget'!P$21</f>
        <v>0</v>
      </c>
      <c r="P21" s="352">
        <f>'[5]2018 - 2020 Budget'!Q$21</f>
        <v>0</v>
      </c>
      <c r="Q21" s="352">
        <f>'[5]2018 - 2020 Budget'!R$21</f>
        <v>0</v>
      </c>
      <c r="R21" s="352">
        <f>'[5]2018 - 2020 Budget'!S$21</f>
        <v>0</v>
      </c>
      <c r="S21" s="337">
        <f t="shared" si="2"/>
        <v>-2.8447918128222227E-2</v>
      </c>
      <c r="T21" s="337">
        <f t="shared" si="10"/>
        <v>0</v>
      </c>
      <c r="U21" s="337">
        <f t="shared" si="11"/>
        <v>0</v>
      </c>
      <c r="V21" s="337">
        <f t="shared" si="4"/>
        <v>-2.8447918128222227E-2</v>
      </c>
    </row>
    <row r="22" spans="1:22" ht="20.149999999999999" customHeight="1" x14ac:dyDescent="0.3">
      <c r="A22" s="359" t="s">
        <v>23</v>
      </c>
      <c r="B22" s="342">
        <v>75000</v>
      </c>
      <c r="C22" s="343">
        <v>562260</v>
      </c>
      <c r="D22" s="343"/>
      <c r="E22" s="344">
        <f t="shared" si="15"/>
        <v>637260</v>
      </c>
      <c r="F22" s="352">
        <f>'[5]2018 - 2020 Budget'!G$22</f>
        <v>75000</v>
      </c>
      <c r="G22" s="352">
        <f>'[5]2018 - 2020 Budget'!H$22</f>
        <v>573600</v>
      </c>
      <c r="H22" s="352">
        <f>'[5]2018 - 2020 Budget'!I$22</f>
        <v>0</v>
      </c>
      <c r="I22" s="352">
        <f>'[5]2018 - 2020 Budget'!J$22</f>
        <v>648600</v>
      </c>
      <c r="J22" s="355">
        <f>'Paris Agrmt &amp; SDGs'!C35</f>
        <v>75000</v>
      </c>
      <c r="K22" s="355">
        <f>'Paris Agrmt &amp; SDGs'!D35</f>
        <v>963946.95500000007</v>
      </c>
      <c r="L22" s="355">
        <f>'Paris Agrmt &amp; SDGs'!E35</f>
        <v>0</v>
      </c>
      <c r="M22" s="355">
        <f t="shared" si="6"/>
        <v>1038946.9550000001</v>
      </c>
      <c r="N22" s="352">
        <v>75000</v>
      </c>
      <c r="O22" s="353">
        <v>596280</v>
      </c>
      <c r="P22" s="353"/>
      <c r="Q22" s="354">
        <f t="shared" si="16"/>
        <v>671280</v>
      </c>
      <c r="R22" s="371">
        <f t="shared" si="8"/>
        <v>2347486.9550000001</v>
      </c>
      <c r="S22" s="337">
        <f t="shared" si="2"/>
        <v>0</v>
      </c>
      <c r="T22" s="337">
        <f t="shared" si="10"/>
        <v>390346.95500000007</v>
      </c>
      <c r="U22" s="337">
        <f t="shared" si="11"/>
        <v>0</v>
      </c>
      <c r="V22" s="337">
        <f t="shared" si="4"/>
        <v>390346.95500000007</v>
      </c>
    </row>
    <row r="23" spans="1:22" ht="20.149999999999999" customHeight="1" x14ac:dyDescent="0.3">
      <c r="A23" s="359" t="s">
        <v>24</v>
      </c>
      <c r="B23" s="342"/>
      <c r="C23" s="343">
        <v>430200</v>
      </c>
      <c r="D23" s="343"/>
      <c r="E23" s="344">
        <f t="shared" si="15"/>
        <v>430200</v>
      </c>
      <c r="F23" s="352">
        <f>'[5]2018 - 2020 Budget'!G$23</f>
        <v>0</v>
      </c>
      <c r="G23" s="352">
        <f>'[5]2018 - 2020 Budget'!H$23</f>
        <v>430200</v>
      </c>
      <c r="H23" s="352">
        <f>'[5]2018 - 2020 Budget'!I$23</f>
        <v>0</v>
      </c>
      <c r="I23" s="352">
        <f>'[5]2018 - 2020 Budget'!J$23</f>
        <v>430200</v>
      </c>
      <c r="J23" s="355">
        <f>'REDD+ Funding Mechanism'!C26</f>
        <v>0</v>
      </c>
      <c r="K23" s="355">
        <f>'REDD+ Funding Mechanism'!D26</f>
        <v>747710</v>
      </c>
      <c r="L23" s="355">
        <f>'REDD+ Funding Mechanism'!E26</f>
        <v>0</v>
      </c>
      <c r="M23" s="355">
        <f t="shared" si="6"/>
        <v>747710</v>
      </c>
      <c r="N23" s="352"/>
      <c r="O23" s="353">
        <v>441540</v>
      </c>
      <c r="P23" s="353"/>
      <c r="Q23" s="354">
        <f t="shared" si="16"/>
        <v>441540</v>
      </c>
      <c r="R23" s="371">
        <f t="shared" si="8"/>
        <v>1619450</v>
      </c>
      <c r="S23" s="337">
        <f t="shared" si="2"/>
        <v>0</v>
      </c>
      <c r="T23" s="337">
        <f t="shared" si="10"/>
        <v>317510</v>
      </c>
      <c r="U23" s="337">
        <f t="shared" si="11"/>
        <v>0</v>
      </c>
      <c r="V23" s="337">
        <f t="shared" si="4"/>
        <v>317510</v>
      </c>
    </row>
    <row r="24" spans="1:22" ht="20.149999999999999" customHeight="1" x14ac:dyDescent="0.3">
      <c r="A24" s="359" t="s">
        <v>25</v>
      </c>
      <c r="B24" s="342">
        <v>0</v>
      </c>
      <c r="C24" s="343"/>
      <c r="D24" s="343">
        <v>1309000</v>
      </c>
      <c r="E24" s="344">
        <f t="shared" si="15"/>
        <v>1309000</v>
      </c>
      <c r="F24" s="352">
        <f>'[5]2018 - 2020 Budget'!C$24</f>
        <v>0</v>
      </c>
      <c r="G24" s="352">
        <f>'[5]2018 - 2020 Budget'!D$24</f>
        <v>0</v>
      </c>
      <c r="H24" s="352">
        <f>'[5]2018 - 2020 Budget'!E$24</f>
        <v>1309000</v>
      </c>
      <c r="I24" s="352">
        <f>'[5]2018 - 2020 Budget'!F$24</f>
        <v>1309000</v>
      </c>
      <c r="J24" s="355">
        <f>'Cross cutting &amp; comms'!C33</f>
        <v>0</v>
      </c>
      <c r="K24" s="355">
        <f>'Cross cutting &amp; comms'!D33</f>
        <v>0</v>
      </c>
      <c r="L24" s="355">
        <f>'Cross cutting &amp; comms'!E33</f>
        <v>1309000</v>
      </c>
      <c r="M24" s="355">
        <f t="shared" si="6"/>
        <v>1309000</v>
      </c>
      <c r="N24" s="352">
        <f>'[5]2018 - 2020 Budget'!K$24</f>
        <v>0</v>
      </c>
      <c r="O24" s="352">
        <f>'[5]2018 - 2020 Budget'!L$24</f>
        <v>0</v>
      </c>
      <c r="P24" s="352">
        <f>'[5]2018 - 2020 Budget'!M$24</f>
        <v>1309000</v>
      </c>
      <c r="Q24" s="352">
        <f>'[5]2018 - 2020 Budget'!N$24</f>
        <v>1309000</v>
      </c>
      <c r="R24" s="352">
        <f>'[5]2018 - 2020 Budget'!O$24</f>
        <v>3927000</v>
      </c>
      <c r="S24" s="337">
        <f t="shared" si="2"/>
        <v>0</v>
      </c>
      <c r="T24" s="337">
        <f t="shared" si="10"/>
        <v>0</v>
      </c>
      <c r="U24" s="337">
        <f t="shared" si="11"/>
        <v>0</v>
      </c>
      <c r="V24" s="337">
        <f t="shared" si="4"/>
        <v>0</v>
      </c>
    </row>
    <row r="25" spans="1:22" ht="20.149999999999999" customHeight="1" x14ac:dyDescent="0.3">
      <c r="A25" s="345" t="s">
        <v>26</v>
      </c>
      <c r="B25" s="346">
        <f>B17+B13+B9+B5</f>
        <v>2805896</v>
      </c>
      <c r="C25" s="347">
        <f>C17+C13+C9+C5</f>
        <v>3379740</v>
      </c>
      <c r="D25" s="347">
        <f>D17+D13+D9+D5</f>
        <v>2527924</v>
      </c>
      <c r="E25" s="348">
        <f>E17+E13+E9+E5</f>
        <v>8713560</v>
      </c>
      <c r="F25" s="346">
        <f t="shared" ref="F25:R25" si="17">F17+F4</f>
        <v>2805896</v>
      </c>
      <c r="G25" s="346">
        <f t="shared" si="17"/>
        <v>3398580</v>
      </c>
      <c r="H25" s="346">
        <f t="shared" si="17"/>
        <v>2527924</v>
      </c>
      <c r="I25" s="346">
        <f t="shared" si="17"/>
        <v>8732400</v>
      </c>
      <c r="J25" s="349">
        <f t="shared" si="17"/>
        <v>2805895.672527452</v>
      </c>
      <c r="K25" s="349">
        <f t="shared" si="17"/>
        <v>4153579.6850000005</v>
      </c>
      <c r="L25" s="349">
        <f t="shared" si="17"/>
        <v>2527924.2000000002</v>
      </c>
      <c r="M25" s="349">
        <f t="shared" si="17"/>
        <v>9487399.5575274527</v>
      </c>
      <c r="N25" s="346">
        <f t="shared" si="17"/>
        <v>6863227</v>
      </c>
      <c r="O25" s="346">
        <f t="shared" si="17"/>
        <v>2865340</v>
      </c>
      <c r="P25" s="346">
        <f t="shared" si="17"/>
        <v>2060924</v>
      </c>
      <c r="Q25" s="346">
        <f t="shared" si="17"/>
        <v>7200013</v>
      </c>
      <c r="R25" s="346">
        <f t="shared" si="17"/>
        <v>22321662.47960455</v>
      </c>
      <c r="S25" s="350">
        <f t="shared" si="2"/>
        <v>-0.32747254800051451</v>
      </c>
      <c r="T25" s="350">
        <f>K25-G25</f>
        <v>754999.68500000052</v>
      </c>
      <c r="U25" s="350">
        <f>L25-H25</f>
        <v>0.20000000018626451</v>
      </c>
      <c r="V25" s="350">
        <f t="shared" si="4"/>
        <v>754999.55752745271</v>
      </c>
    </row>
    <row r="26" spans="1:22" ht="20.149999999999999" customHeight="1" x14ac:dyDescent="0.3">
      <c r="A26" s="351" t="s">
        <v>27</v>
      </c>
      <c r="B26" s="352">
        <f t="shared" ref="B26:I26" si="18">B25*0.07</f>
        <v>196412.72000000003</v>
      </c>
      <c r="C26" s="353">
        <f t="shared" si="18"/>
        <v>236581.80000000002</v>
      </c>
      <c r="D26" s="353">
        <f t="shared" si="18"/>
        <v>176954.68000000002</v>
      </c>
      <c r="E26" s="354">
        <f t="shared" si="18"/>
        <v>609949.20000000007</v>
      </c>
      <c r="F26" s="352">
        <f t="shared" si="18"/>
        <v>196412.72000000003</v>
      </c>
      <c r="G26" s="352">
        <f t="shared" si="18"/>
        <v>237900.60000000003</v>
      </c>
      <c r="H26" s="352">
        <f t="shared" si="18"/>
        <v>176954.68000000002</v>
      </c>
      <c r="I26" s="352">
        <f t="shared" si="18"/>
        <v>611268</v>
      </c>
      <c r="J26" s="355">
        <f t="shared" ref="J26:R26" si="19">J25*0.07</f>
        <v>196412.69707692167</v>
      </c>
      <c r="K26" s="355">
        <f t="shared" si="19"/>
        <v>290750.57795000006</v>
      </c>
      <c r="L26" s="355">
        <f t="shared" si="19"/>
        <v>176954.69400000002</v>
      </c>
      <c r="M26" s="355">
        <f t="shared" si="19"/>
        <v>664117.96902692178</v>
      </c>
      <c r="N26" s="352">
        <f t="shared" si="19"/>
        <v>480425.89000000007</v>
      </c>
      <c r="O26" s="352">
        <f t="shared" si="19"/>
        <v>200573.80000000002</v>
      </c>
      <c r="P26" s="352">
        <f t="shared" si="19"/>
        <v>144264.68000000002</v>
      </c>
      <c r="Q26" s="352">
        <f t="shared" si="19"/>
        <v>504000.91000000003</v>
      </c>
      <c r="R26" s="352">
        <f t="shared" si="19"/>
        <v>1562516.3735723186</v>
      </c>
      <c r="S26" s="337">
        <f t="shared" si="2"/>
        <v>-2.2923078358871862E-2</v>
      </c>
      <c r="T26" s="337">
        <f t="shared" si="10"/>
        <v>52849.97795000003</v>
      </c>
      <c r="U26" s="337">
        <f t="shared" si="11"/>
        <v>1.3999999995576218E-2</v>
      </c>
      <c r="V26" s="337">
        <f t="shared" si="4"/>
        <v>52849.969026921783</v>
      </c>
    </row>
    <row r="27" spans="1:22" ht="20.149999999999999" customHeight="1" x14ac:dyDescent="0.3">
      <c r="A27" s="345" t="s">
        <v>28</v>
      </c>
      <c r="B27" s="346">
        <f>SUM(B25:B26)</f>
        <v>3002308.72</v>
      </c>
      <c r="C27" s="347">
        <f>SUM(C25:C26)</f>
        <v>3616321.8</v>
      </c>
      <c r="D27" s="347">
        <f>SUM(D25:D26)</f>
        <v>2704878.68</v>
      </c>
      <c r="E27" s="356">
        <f>SUM(E25:E26)</f>
        <v>9323509.1999999993</v>
      </c>
      <c r="F27" s="357">
        <f>F25+F26</f>
        <v>3002308.72</v>
      </c>
      <c r="G27" s="357">
        <f t="shared" ref="G27:L27" si="20">G25+G26</f>
        <v>3636480.6</v>
      </c>
      <c r="H27" s="357">
        <f t="shared" si="20"/>
        <v>2704878.68</v>
      </c>
      <c r="I27" s="357">
        <f t="shared" si="20"/>
        <v>9343668</v>
      </c>
      <c r="J27" s="349">
        <f t="shared" si="20"/>
        <v>3002308.3696043738</v>
      </c>
      <c r="K27" s="349">
        <f t="shared" si="20"/>
        <v>4444330.2629500004</v>
      </c>
      <c r="L27" s="349">
        <f t="shared" si="20"/>
        <v>2704878.8940000003</v>
      </c>
      <c r="M27" s="349">
        <f t="shared" ref="M27:R27" si="21">M25+M26</f>
        <v>10151517.526554374</v>
      </c>
      <c r="N27" s="357">
        <f t="shared" si="21"/>
        <v>7343652.8899999997</v>
      </c>
      <c r="O27" s="357">
        <f t="shared" si="21"/>
        <v>3065913.8</v>
      </c>
      <c r="P27" s="357">
        <f t="shared" si="21"/>
        <v>2205188.6800000002</v>
      </c>
      <c r="Q27" s="357">
        <f t="shared" si="21"/>
        <v>7704013.9100000001</v>
      </c>
      <c r="R27" s="357">
        <f t="shared" si="21"/>
        <v>23884178.853176869</v>
      </c>
      <c r="S27" s="350">
        <f t="shared" si="2"/>
        <v>-0.3503956263884902</v>
      </c>
      <c r="T27" s="350">
        <f t="shared" si="10"/>
        <v>807849.66295000026</v>
      </c>
      <c r="U27" s="350">
        <f t="shared" si="11"/>
        <v>0.2140000001527369</v>
      </c>
      <c r="V27" s="350">
        <f t="shared" si="4"/>
        <v>807849.52655437402</v>
      </c>
    </row>
  </sheetData>
  <mergeCells count="8">
    <mergeCell ref="A1:W1"/>
    <mergeCell ref="A2:A3"/>
    <mergeCell ref="B2:E2"/>
    <mergeCell ref="F2:I2"/>
    <mergeCell ref="J2:M2"/>
    <mergeCell ref="N2:Q2"/>
    <mergeCell ref="R2:R3"/>
    <mergeCell ref="S2:V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79"/>
  <sheetViews>
    <sheetView showGridLines="0" topLeftCell="A34" zoomScale="70" zoomScaleNormal="70" workbookViewId="0">
      <selection activeCell="D24" sqref="D24:D26"/>
    </sheetView>
  </sheetViews>
  <sheetFormatPr defaultColWidth="9.1796875" defaultRowHeight="12" x14ac:dyDescent="0.3"/>
  <cols>
    <col min="1" max="1" width="2.1796875" style="178" customWidth="1"/>
    <col min="2" max="2" width="47.54296875" style="207" customWidth="1"/>
    <col min="3" max="3" width="80.81640625" style="207" customWidth="1"/>
    <col min="4" max="4" width="14.7265625" style="207" customWidth="1"/>
    <col min="5" max="5" width="22.453125" style="207" customWidth="1"/>
    <col min="6" max="6" width="12.81640625" style="207" customWidth="1"/>
    <col min="7" max="7" width="19.81640625" style="178" customWidth="1"/>
    <col min="8" max="16384" width="9.1796875" style="178"/>
  </cols>
  <sheetData>
    <row r="3" spans="2:6" x14ac:dyDescent="0.3">
      <c r="B3" s="137" t="s">
        <v>101</v>
      </c>
      <c r="C3" s="137"/>
      <c r="D3" s="137"/>
      <c r="E3" s="137"/>
      <c r="F3" s="138"/>
    </row>
    <row r="4" spans="2:6" ht="30.75" customHeight="1" x14ac:dyDescent="0.3">
      <c r="B4" s="559" t="s">
        <v>63</v>
      </c>
      <c r="C4" s="560"/>
      <c r="D4" s="560"/>
      <c r="E4" s="560"/>
      <c r="F4" s="561"/>
    </row>
    <row r="5" spans="2:6" x14ac:dyDescent="0.3">
      <c r="B5" s="562" t="s">
        <v>58</v>
      </c>
      <c r="C5" s="564" t="s">
        <v>59</v>
      </c>
      <c r="D5" s="564" t="s">
        <v>60</v>
      </c>
      <c r="E5" s="566" t="s">
        <v>61</v>
      </c>
      <c r="F5" s="566"/>
    </row>
    <row r="6" spans="2:6" x14ac:dyDescent="0.3">
      <c r="B6" s="563"/>
      <c r="C6" s="565"/>
      <c r="D6" s="565"/>
      <c r="E6" s="165" t="s">
        <v>31</v>
      </c>
      <c r="F6" s="165" t="s">
        <v>62</v>
      </c>
    </row>
    <row r="7" spans="2:6" ht="36" x14ac:dyDescent="0.3">
      <c r="B7" s="537" t="s">
        <v>243</v>
      </c>
      <c r="C7" s="176" t="s">
        <v>242</v>
      </c>
      <c r="D7" s="548" t="s">
        <v>2</v>
      </c>
      <c r="E7" s="551" t="s">
        <v>32</v>
      </c>
      <c r="F7" s="553">
        <v>125782.74768690798</v>
      </c>
    </row>
    <row r="8" spans="2:6" ht="24" x14ac:dyDescent="0.3">
      <c r="B8" s="538"/>
      <c r="C8" s="176" t="s">
        <v>177</v>
      </c>
      <c r="D8" s="549"/>
      <c r="E8" s="552"/>
      <c r="F8" s="555"/>
    </row>
    <row r="9" spans="2:6" ht="24" x14ac:dyDescent="0.3">
      <c r="B9" s="538"/>
      <c r="C9" s="176" t="s">
        <v>178</v>
      </c>
      <c r="D9" s="549"/>
      <c r="E9" s="556" t="s">
        <v>36</v>
      </c>
      <c r="F9" s="553">
        <v>9091.5460405469148</v>
      </c>
    </row>
    <row r="10" spans="2:6" ht="24" x14ac:dyDescent="0.3">
      <c r="B10" s="538"/>
      <c r="C10" s="176" t="s">
        <v>179</v>
      </c>
      <c r="D10" s="549"/>
      <c r="E10" s="557"/>
      <c r="F10" s="554"/>
    </row>
    <row r="11" spans="2:6" ht="21" customHeight="1" x14ac:dyDescent="0.3">
      <c r="B11" s="538"/>
      <c r="C11" s="176" t="s">
        <v>180</v>
      </c>
      <c r="D11" s="549"/>
      <c r="E11" s="557"/>
      <c r="F11" s="554"/>
    </row>
    <row r="12" spans="2:6" ht="17.25" customHeight="1" x14ac:dyDescent="0.3">
      <c r="B12" s="538"/>
      <c r="C12" s="551" t="s">
        <v>181</v>
      </c>
      <c r="D12" s="549"/>
      <c r="E12" s="558"/>
      <c r="F12" s="555"/>
    </row>
    <row r="13" spans="2:6" ht="30.75" customHeight="1" x14ac:dyDescent="0.3">
      <c r="B13" s="539"/>
      <c r="C13" s="552"/>
      <c r="D13" s="550"/>
      <c r="E13" s="176" t="s">
        <v>37</v>
      </c>
      <c r="F13" s="179">
        <v>13131.87071234314</v>
      </c>
    </row>
    <row r="14" spans="2:6" x14ac:dyDescent="0.3">
      <c r="B14" s="248" t="s">
        <v>38</v>
      </c>
      <c r="C14" s="248"/>
      <c r="D14" s="248"/>
      <c r="E14" s="274"/>
      <c r="F14" s="248">
        <f>SUM(F7:F13)</f>
        <v>148006.16443979804</v>
      </c>
    </row>
    <row r="15" spans="2:6" ht="42.75" customHeight="1" x14ac:dyDescent="0.3">
      <c r="B15" s="542" t="s">
        <v>274</v>
      </c>
      <c r="C15" s="131" t="s">
        <v>216</v>
      </c>
      <c r="D15" s="540" t="s">
        <v>3</v>
      </c>
      <c r="E15" s="545" t="s">
        <v>32</v>
      </c>
      <c r="F15" s="567">
        <v>148161</v>
      </c>
    </row>
    <row r="16" spans="2:6" ht="27" customHeight="1" x14ac:dyDescent="0.3">
      <c r="B16" s="543"/>
      <c r="C16" s="131" t="s">
        <v>217</v>
      </c>
      <c r="D16" s="540"/>
      <c r="E16" s="547"/>
      <c r="F16" s="568"/>
    </row>
    <row r="17" spans="2:6" ht="28.5" customHeight="1" x14ac:dyDescent="0.3">
      <c r="B17" s="543"/>
      <c r="C17" s="131" t="s">
        <v>218</v>
      </c>
      <c r="D17" s="540"/>
      <c r="E17" s="133" t="s">
        <v>36</v>
      </c>
      <c r="F17" s="148">
        <v>18000</v>
      </c>
    </row>
    <row r="18" spans="2:6" ht="30.75" customHeight="1" x14ac:dyDescent="0.3">
      <c r="B18" s="544"/>
      <c r="C18" s="131" t="s">
        <v>219</v>
      </c>
      <c r="D18" s="541"/>
      <c r="E18" s="131" t="s">
        <v>37</v>
      </c>
      <c r="F18" s="148">
        <v>14017</v>
      </c>
    </row>
    <row r="19" spans="2:6" x14ac:dyDescent="0.3">
      <c r="B19" s="314" t="s">
        <v>38</v>
      </c>
      <c r="C19" s="151"/>
      <c r="D19" s="114"/>
      <c r="E19" s="145"/>
      <c r="F19" s="229">
        <f>SUM(F15:F18)</f>
        <v>180178</v>
      </c>
    </row>
    <row r="20" spans="2:6" ht="24" x14ac:dyDescent="0.3">
      <c r="B20" s="537" t="s">
        <v>155</v>
      </c>
      <c r="C20" s="170" t="s">
        <v>220</v>
      </c>
      <c r="D20" s="548" t="s">
        <v>2</v>
      </c>
      <c r="E20" s="171" t="s">
        <v>32</v>
      </c>
      <c r="F20" s="230">
        <v>67729.171831411993</v>
      </c>
    </row>
    <row r="21" spans="2:6" ht="36" customHeight="1" x14ac:dyDescent="0.3">
      <c r="B21" s="538"/>
      <c r="C21" s="551" t="s">
        <v>276</v>
      </c>
      <c r="D21" s="549"/>
      <c r="E21" s="143" t="s">
        <v>36</v>
      </c>
      <c r="F21" s="179">
        <v>4895.4478679867998</v>
      </c>
    </row>
    <row r="22" spans="2:6" ht="24" x14ac:dyDescent="0.3">
      <c r="B22" s="538"/>
      <c r="C22" s="552"/>
      <c r="D22" s="550"/>
      <c r="E22" s="487" t="s">
        <v>37</v>
      </c>
      <c r="F22" s="179">
        <v>7071.0073066463056</v>
      </c>
    </row>
    <row r="23" spans="2:6" x14ac:dyDescent="0.3">
      <c r="B23" s="538"/>
      <c r="C23" s="491"/>
      <c r="D23" s="492"/>
      <c r="E23" s="274" t="s">
        <v>38</v>
      </c>
      <c r="F23" s="248">
        <f>SUM(F20:F22)</f>
        <v>79695.627006045106</v>
      </c>
    </row>
    <row r="24" spans="2:6" ht="14.5" customHeight="1" x14ac:dyDescent="0.3">
      <c r="B24" s="538"/>
      <c r="C24" s="545" t="s">
        <v>309</v>
      </c>
      <c r="D24" s="587" t="s">
        <v>3</v>
      </c>
      <c r="E24" s="488" t="s">
        <v>32</v>
      </c>
      <c r="F24" s="158">
        <v>29633</v>
      </c>
    </row>
    <row r="25" spans="2:6" x14ac:dyDescent="0.3">
      <c r="B25" s="538"/>
      <c r="C25" s="546"/>
      <c r="D25" s="587"/>
      <c r="E25" s="133" t="s">
        <v>36</v>
      </c>
      <c r="F25" s="158">
        <v>3600</v>
      </c>
    </row>
    <row r="26" spans="2:6" ht="24" x14ac:dyDescent="0.3">
      <c r="B26" s="538"/>
      <c r="C26" s="547"/>
      <c r="D26" s="587"/>
      <c r="E26" s="489" t="s">
        <v>37</v>
      </c>
      <c r="F26" s="257">
        <v>2805</v>
      </c>
    </row>
    <row r="27" spans="2:6" x14ac:dyDescent="0.3">
      <c r="B27" s="484"/>
      <c r="C27" s="491"/>
      <c r="D27" s="491"/>
      <c r="E27" s="274" t="s">
        <v>38</v>
      </c>
      <c r="F27" s="274">
        <f>SUM(F24:F26)</f>
        <v>36038</v>
      </c>
    </row>
    <row r="28" spans="2:6" x14ac:dyDescent="0.3">
      <c r="B28" s="314" t="s">
        <v>38</v>
      </c>
      <c r="C28" s="314"/>
      <c r="D28" s="314"/>
      <c r="E28" s="314"/>
      <c r="F28" s="314">
        <f>SUM(F27,F23)</f>
        <v>115733.62700604511</v>
      </c>
    </row>
    <row r="29" spans="2:6" ht="36" x14ac:dyDescent="0.3">
      <c r="B29" s="581" t="s">
        <v>156</v>
      </c>
      <c r="C29" s="160" t="s">
        <v>244</v>
      </c>
      <c r="D29" s="573" t="s">
        <v>4</v>
      </c>
      <c r="E29" s="115" t="s">
        <v>32</v>
      </c>
      <c r="F29" s="154">
        <v>21205.200000000001</v>
      </c>
    </row>
    <row r="30" spans="2:6" ht="34" customHeight="1" x14ac:dyDescent="0.3">
      <c r="B30" s="586"/>
      <c r="C30" s="161" t="s">
        <v>292</v>
      </c>
      <c r="D30" s="574"/>
      <c r="E30" s="579" t="s">
        <v>36</v>
      </c>
      <c r="F30" s="577">
        <v>2356</v>
      </c>
    </row>
    <row r="31" spans="2:6" ht="14.5" customHeight="1" x14ac:dyDescent="0.3">
      <c r="B31" s="586"/>
      <c r="C31" s="581" t="s">
        <v>245</v>
      </c>
      <c r="D31" s="574"/>
      <c r="E31" s="580"/>
      <c r="F31" s="578"/>
    </row>
    <row r="32" spans="2:6" ht="24" x14ac:dyDescent="0.3">
      <c r="B32" s="586"/>
      <c r="C32" s="582"/>
      <c r="D32" s="575"/>
      <c r="E32" s="116" t="s">
        <v>37</v>
      </c>
      <c r="F32" s="153">
        <v>0</v>
      </c>
    </row>
    <row r="33" spans="2:6" x14ac:dyDescent="0.3">
      <c r="B33" s="586"/>
      <c r="C33" s="491"/>
      <c r="D33" s="491"/>
      <c r="E33" s="274" t="s">
        <v>38</v>
      </c>
      <c r="F33" s="274">
        <f>SUM(F29:F32)</f>
        <v>23561.200000000001</v>
      </c>
    </row>
    <row r="34" spans="2:6" ht="24" customHeight="1" x14ac:dyDescent="0.3">
      <c r="B34" s="586"/>
      <c r="C34" s="569" t="s">
        <v>221</v>
      </c>
      <c r="D34" s="583" t="s">
        <v>3</v>
      </c>
      <c r="E34" s="489" t="s">
        <v>32</v>
      </c>
      <c r="F34" s="158">
        <v>19755</v>
      </c>
    </row>
    <row r="35" spans="2:6" x14ac:dyDescent="0.3">
      <c r="B35" s="586"/>
      <c r="C35" s="570"/>
      <c r="D35" s="584"/>
      <c r="E35" s="489" t="s">
        <v>36</v>
      </c>
      <c r="F35" s="158">
        <v>2400</v>
      </c>
    </row>
    <row r="36" spans="2:6" ht="24" x14ac:dyDescent="0.3">
      <c r="B36" s="586"/>
      <c r="C36" s="571"/>
      <c r="D36" s="585"/>
      <c r="E36" s="489" t="s">
        <v>37</v>
      </c>
      <c r="F36" s="158">
        <v>1870</v>
      </c>
    </row>
    <row r="37" spans="2:6" x14ac:dyDescent="0.3">
      <c r="B37" s="582"/>
      <c r="C37" s="491"/>
      <c r="D37" s="491"/>
      <c r="E37" s="491"/>
      <c r="F37" s="493">
        <f>SUM(F34:F36)</f>
        <v>24025</v>
      </c>
    </row>
    <row r="38" spans="2:6" x14ac:dyDescent="0.3">
      <c r="B38" s="314" t="s">
        <v>38</v>
      </c>
      <c r="C38" s="314"/>
      <c r="D38" s="314"/>
      <c r="E38" s="314"/>
      <c r="F38" s="314">
        <f>SUM(F37,F33)</f>
        <v>47586.2</v>
      </c>
    </row>
    <row r="39" spans="2:6" x14ac:dyDescent="0.3">
      <c r="B39" s="576" t="s">
        <v>157</v>
      </c>
      <c r="C39" s="122" t="s">
        <v>222</v>
      </c>
      <c r="D39" s="573" t="s">
        <v>4</v>
      </c>
      <c r="E39" s="115" t="s">
        <v>32</v>
      </c>
      <c r="F39" s="154">
        <v>31807.8</v>
      </c>
    </row>
    <row r="40" spans="2:6" x14ac:dyDescent="0.3">
      <c r="B40" s="576"/>
      <c r="C40" s="122" t="s">
        <v>223</v>
      </c>
      <c r="D40" s="574"/>
      <c r="E40" s="115" t="s">
        <v>36</v>
      </c>
      <c r="F40" s="154">
        <v>3534.2000000000003</v>
      </c>
    </row>
    <row r="41" spans="2:6" ht="24" x14ac:dyDescent="0.3">
      <c r="B41" s="576"/>
      <c r="C41" s="122" t="s">
        <v>308</v>
      </c>
      <c r="D41" s="575"/>
      <c r="E41" s="116" t="s">
        <v>37</v>
      </c>
      <c r="F41" s="154">
        <v>0</v>
      </c>
    </row>
    <row r="42" spans="2:6" x14ac:dyDescent="0.3">
      <c r="B42" s="314" t="s">
        <v>38</v>
      </c>
      <c r="C42" s="47"/>
      <c r="D42" s="47"/>
      <c r="E42" s="156"/>
      <c r="F42" s="231">
        <f>SUM(F39:F41)</f>
        <v>35342</v>
      </c>
    </row>
    <row r="43" spans="2:6" x14ac:dyDescent="0.3">
      <c r="B43" s="195" t="s">
        <v>26</v>
      </c>
      <c r="C43" s="188"/>
      <c r="D43" s="188"/>
      <c r="E43" s="188"/>
      <c r="F43" s="275">
        <f>F42+F38+F14+F28+F19</f>
        <v>526845.99144584313</v>
      </c>
    </row>
    <row r="44" spans="2:6" x14ac:dyDescent="0.3">
      <c r="B44" s="192" t="s">
        <v>67</v>
      </c>
      <c r="C44" s="192"/>
      <c r="D44" s="192"/>
      <c r="E44" s="192"/>
      <c r="F44" s="232">
        <f>0.07*F43</f>
        <v>36879.219401209026</v>
      </c>
    </row>
    <row r="45" spans="2:6" x14ac:dyDescent="0.3">
      <c r="B45" s="195" t="s">
        <v>68</v>
      </c>
      <c r="C45" s="188"/>
      <c r="D45" s="188"/>
      <c r="E45" s="188"/>
      <c r="F45" s="275">
        <f>F44+F43</f>
        <v>563725.21084705216</v>
      </c>
    </row>
    <row r="49" spans="2:7" x14ac:dyDescent="0.3">
      <c r="B49" s="196" t="s">
        <v>69</v>
      </c>
      <c r="C49" s="196" t="s">
        <v>2</v>
      </c>
      <c r="D49" s="196" t="s">
        <v>3</v>
      </c>
      <c r="E49" s="196" t="s">
        <v>4</v>
      </c>
      <c r="F49" s="196" t="s">
        <v>1</v>
      </c>
    </row>
    <row r="50" spans="2:7" x14ac:dyDescent="0.3">
      <c r="B50" s="141" t="s">
        <v>32</v>
      </c>
      <c r="C50" s="198">
        <f>F20+F7</f>
        <v>193511.91951831998</v>
      </c>
      <c r="D50" s="199">
        <f>F15+F24+F34</f>
        <v>197549</v>
      </c>
      <c r="E50" s="233">
        <f>F29+F39</f>
        <v>53013</v>
      </c>
      <c r="F50" s="201">
        <f>E50+D50+C50</f>
        <v>444073.91951832001</v>
      </c>
    </row>
    <row r="51" spans="2:7" x14ac:dyDescent="0.3">
      <c r="B51" s="141" t="s">
        <v>36</v>
      </c>
      <c r="C51" s="198">
        <f>F9+F21</f>
        <v>13986.993908533714</v>
      </c>
      <c r="D51" s="199">
        <f>F17+F25+F35</f>
        <v>24000</v>
      </c>
      <c r="E51" s="233">
        <f>F30+F40</f>
        <v>5890.2000000000007</v>
      </c>
      <c r="F51" s="201">
        <f>E51+D51+C51</f>
        <v>43877.193908533714</v>
      </c>
    </row>
    <row r="52" spans="2:7" x14ac:dyDescent="0.3">
      <c r="B52" s="142" t="s">
        <v>37</v>
      </c>
      <c r="C52" s="198">
        <f>F13+F22</f>
        <v>20202.878018989446</v>
      </c>
      <c r="D52" s="199">
        <f>F18+F26+F36</f>
        <v>18692</v>
      </c>
      <c r="E52" s="233">
        <f>F32+F41</f>
        <v>0</v>
      </c>
      <c r="F52" s="201">
        <f>E52+D52+C52</f>
        <v>38894.878018989446</v>
      </c>
    </row>
    <row r="53" spans="2:7" x14ac:dyDescent="0.3">
      <c r="B53" s="202" t="s">
        <v>26</v>
      </c>
      <c r="C53" s="203">
        <f>SUM(C50:C52)</f>
        <v>227701.79144584312</v>
      </c>
      <c r="D53" s="234">
        <f>SUM(D50:D52)</f>
        <v>240241</v>
      </c>
      <c r="E53" s="203">
        <f>SUM(E50:E52)</f>
        <v>58903.199999999997</v>
      </c>
      <c r="F53" s="203">
        <f>SUM(F50:F52)</f>
        <v>526845.99144584313</v>
      </c>
      <c r="G53" s="235">
        <f>C79+C68</f>
        <v>526845.99144584313</v>
      </c>
    </row>
    <row r="54" spans="2:7" x14ac:dyDescent="0.3">
      <c r="B54" s="192" t="s">
        <v>269</v>
      </c>
      <c r="C54" s="222">
        <v>15939.125401209019</v>
      </c>
      <c r="D54" s="199">
        <f>D53*0.07</f>
        <v>16816.870000000003</v>
      </c>
      <c r="E54" s="233">
        <f>E53*0.07</f>
        <v>4123.2240000000002</v>
      </c>
      <c r="F54" s="201">
        <f>F53*0.07</f>
        <v>36879.219401209026</v>
      </c>
    </row>
    <row r="55" spans="2:7" x14ac:dyDescent="0.3">
      <c r="B55" s="211" t="s">
        <v>1</v>
      </c>
      <c r="C55" s="236">
        <v>243640.91684705214</v>
      </c>
      <c r="D55" s="461">
        <f>D54+D53</f>
        <v>257057.87</v>
      </c>
      <c r="E55" s="250">
        <f>E54+E53</f>
        <v>63026.423999999999</v>
      </c>
      <c r="F55" s="212">
        <f>F54+F53</f>
        <v>563725.21084705216</v>
      </c>
    </row>
    <row r="57" spans="2:7" ht="12.5" thickBot="1" x14ac:dyDescent="0.35">
      <c r="B57" s="214" t="s">
        <v>186</v>
      </c>
      <c r="C57" s="215">
        <f>'2019 Comparison'!F14</f>
        <v>227702</v>
      </c>
      <c r="D57" s="215">
        <f>'2019 Comparison'!G14</f>
        <v>244300</v>
      </c>
      <c r="E57" s="215">
        <f>'2019 Comparison'!H14</f>
        <v>58903</v>
      </c>
      <c r="F57" s="215">
        <f>'2019 Comparison'!I14</f>
        <v>530905</v>
      </c>
    </row>
    <row r="58" spans="2:7" ht="12.5" thickTop="1" x14ac:dyDescent="0.3">
      <c r="B58" s="237"/>
      <c r="C58" s="237"/>
      <c r="D58" s="237"/>
      <c r="E58" s="237"/>
      <c r="F58" s="237"/>
    </row>
    <row r="59" spans="2:7" x14ac:dyDescent="0.3">
      <c r="B59" s="572" t="s">
        <v>57</v>
      </c>
      <c r="C59" s="572"/>
      <c r="D59" s="572"/>
      <c r="E59" s="572"/>
      <c r="F59" s="572"/>
    </row>
    <row r="60" spans="2:7" x14ac:dyDescent="0.3">
      <c r="B60" s="217" t="s">
        <v>31</v>
      </c>
      <c r="C60" s="218" t="s">
        <v>100</v>
      </c>
      <c r="D60" s="219" t="s">
        <v>2</v>
      </c>
      <c r="E60" s="238" t="s">
        <v>3</v>
      </c>
      <c r="F60" s="219" t="s">
        <v>4</v>
      </c>
    </row>
    <row r="61" spans="2:7" x14ac:dyDescent="0.3">
      <c r="B61" s="192" t="s">
        <v>32</v>
      </c>
      <c r="C61" s="221">
        <f>D61+E61+F61</f>
        <v>0</v>
      </c>
      <c r="D61" s="222"/>
      <c r="E61" s="199"/>
      <c r="F61" s="233"/>
    </row>
    <row r="62" spans="2:7" x14ac:dyDescent="0.3">
      <c r="B62" s="192" t="s">
        <v>33</v>
      </c>
      <c r="C62" s="221">
        <f t="shared" ref="C62:C67" si="0">D62+E62+F62</f>
        <v>0</v>
      </c>
      <c r="D62" s="222"/>
      <c r="E62" s="199"/>
      <c r="F62" s="233"/>
    </row>
    <row r="63" spans="2:7" x14ac:dyDescent="0.3">
      <c r="B63" s="193" t="s">
        <v>34</v>
      </c>
      <c r="C63" s="221">
        <f t="shared" si="0"/>
        <v>0</v>
      </c>
      <c r="D63" s="222"/>
      <c r="E63" s="199"/>
      <c r="F63" s="233"/>
    </row>
    <row r="64" spans="2:7" x14ac:dyDescent="0.3">
      <c r="B64" s="192" t="s">
        <v>35</v>
      </c>
      <c r="C64" s="221">
        <f t="shared" si="0"/>
        <v>0</v>
      </c>
      <c r="D64" s="222"/>
      <c r="E64" s="199"/>
      <c r="F64" s="233"/>
    </row>
    <row r="65" spans="2:6" x14ac:dyDescent="0.3">
      <c r="B65" s="192" t="s">
        <v>36</v>
      </c>
      <c r="C65" s="221">
        <f t="shared" si="0"/>
        <v>0</v>
      </c>
      <c r="D65" s="222"/>
      <c r="E65" s="199"/>
      <c r="F65" s="233"/>
    </row>
    <row r="66" spans="2:6" x14ac:dyDescent="0.3">
      <c r="B66" s="193" t="s">
        <v>53</v>
      </c>
      <c r="C66" s="221">
        <f t="shared" si="0"/>
        <v>0</v>
      </c>
      <c r="D66" s="222"/>
      <c r="E66" s="199"/>
      <c r="F66" s="233"/>
    </row>
    <row r="67" spans="2:6" x14ac:dyDescent="0.3">
      <c r="B67" s="193" t="s">
        <v>37</v>
      </c>
      <c r="C67" s="221">
        <f t="shared" si="0"/>
        <v>0</v>
      </c>
      <c r="D67" s="222"/>
      <c r="E67" s="199"/>
      <c r="F67" s="233"/>
    </row>
    <row r="68" spans="2:6" x14ac:dyDescent="0.3">
      <c r="B68" s="140" t="s">
        <v>38</v>
      </c>
      <c r="C68" s="225">
        <f>SUM(C61:C67)</f>
        <v>0</v>
      </c>
      <c r="D68" s="225">
        <f>SUM(D61:D67)</f>
        <v>0</v>
      </c>
      <c r="E68" s="225">
        <f>SUM(E61:E67)</f>
        <v>0</v>
      </c>
      <c r="F68" s="225">
        <f>SUM(F61:F67)</f>
        <v>0</v>
      </c>
    </row>
    <row r="70" spans="2:6" ht="27" customHeight="1" x14ac:dyDescent="0.3">
      <c r="B70" s="559" t="s">
        <v>63</v>
      </c>
      <c r="C70" s="560"/>
      <c r="D70" s="560"/>
      <c r="E70" s="560"/>
      <c r="F70" s="561"/>
    </row>
    <row r="71" spans="2:6" x14ac:dyDescent="0.3">
      <c r="B71" s="217" t="s">
        <v>31</v>
      </c>
      <c r="C71" s="218" t="s">
        <v>100</v>
      </c>
      <c r="D71" s="219" t="s">
        <v>2</v>
      </c>
      <c r="E71" s="238" t="s">
        <v>3</v>
      </c>
      <c r="F71" s="219" t="s">
        <v>4</v>
      </c>
    </row>
    <row r="72" spans="2:6" x14ac:dyDescent="0.3">
      <c r="B72" s="192" t="s">
        <v>32</v>
      </c>
      <c r="C72" s="221">
        <f>D72+E72+F72</f>
        <v>444073.91951832001</v>
      </c>
      <c r="D72" s="222">
        <f>+C50</f>
        <v>193511.91951831998</v>
      </c>
      <c r="E72" s="199">
        <f>+D50</f>
        <v>197549</v>
      </c>
      <c r="F72" s="233">
        <f>+E50</f>
        <v>53013</v>
      </c>
    </row>
    <row r="73" spans="2:6" x14ac:dyDescent="0.3">
      <c r="B73" s="192" t="s">
        <v>33</v>
      </c>
      <c r="C73" s="221">
        <f t="shared" ref="C73:C78" si="1">D73+E73+F73</f>
        <v>0</v>
      </c>
      <c r="D73" s="222"/>
      <c r="E73" s="199"/>
      <c r="F73" s="233"/>
    </row>
    <row r="74" spans="2:6" x14ac:dyDescent="0.3">
      <c r="B74" s="193" t="s">
        <v>34</v>
      </c>
      <c r="C74" s="221">
        <f t="shared" si="1"/>
        <v>0</v>
      </c>
      <c r="D74" s="222"/>
      <c r="E74" s="199"/>
      <c r="F74" s="233"/>
    </row>
    <row r="75" spans="2:6" x14ac:dyDescent="0.3">
      <c r="B75" s="192" t="s">
        <v>35</v>
      </c>
      <c r="C75" s="221">
        <f t="shared" si="1"/>
        <v>0</v>
      </c>
      <c r="D75" s="222"/>
      <c r="E75" s="199"/>
      <c r="F75" s="233"/>
    </row>
    <row r="76" spans="2:6" x14ac:dyDescent="0.3">
      <c r="B76" s="192" t="s">
        <v>36</v>
      </c>
      <c r="C76" s="221">
        <f t="shared" si="1"/>
        <v>43877.193908533707</v>
      </c>
      <c r="D76" s="222">
        <f>+C51</f>
        <v>13986.993908533714</v>
      </c>
      <c r="E76" s="199">
        <f>+D51</f>
        <v>24000</v>
      </c>
      <c r="F76" s="233">
        <f>+E51</f>
        <v>5890.2000000000007</v>
      </c>
    </row>
    <row r="77" spans="2:6" x14ac:dyDescent="0.3">
      <c r="B77" s="193" t="s">
        <v>53</v>
      </c>
      <c r="C77" s="221">
        <f t="shared" si="1"/>
        <v>0</v>
      </c>
      <c r="D77" s="222"/>
      <c r="E77" s="199"/>
      <c r="F77" s="233"/>
    </row>
    <row r="78" spans="2:6" x14ac:dyDescent="0.3">
      <c r="B78" s="193" t="s">
        <v>37</v>
      </c>
      <c r="C78" s="221">
        <f t="shared" si="1"/>
        <v>38894.878018989446</v>
      </c>
      <c r="D78" s="222">
        <f>+C52</f>
        <v>20202.878018989446</v>
      </c>
      <c r="E78" s="199">
        <f>+D52</f>
        <v>18692</v>
      </c>
      <c r="F78" s="233">
        <f>+E52</f>
        <v>0</v>
      </c>
    </row>
    <row r="79" spans="2:6" x14ac:dyDescent="0.3">
      <c r="B79" s="140" t="s">
        <v>38</v>
      </c>
      <c r="C79" s="225">
        <f>SUM(C72:C78)</f>
        <v>526845.99144584313</v>
      </c>
      <c r="D79" s="225">
        <f>SUM(D72:D78)</f>
        <v>227701.79144584312</v>
      </c>
      <c r="E79" s="225">
        <f>SUM(E72:E78)</f>
        <v>240241</v>
      </c>
      <c r="F79" s="225">
        <f>SUM(F72:F78)</f>
        <v>58903.199999999997</v>
      </c>
    </row>
  </sheetData>
  <mergeCells count="32">
    <mergeCell ref="F15:F16"/>
    <mergeCell ref="E15:E16"/>
    <mergeCell ref="C34:C36"/>
    <mergeCell ref="B70:F70"/>
    <mergeCell ref="B59:F59"/>
    <mergeCell ref="D29:D32"/>
    <mergeCell ref="B39:B41"/>
    <mergeCell ref="D39:D41"/>
    <mergeCell ref="F30:F31"/>
    <mergeCell ref="E30:E31"/>
    <mergeCell ref="C31:C32"/>
    <mergeCell ref="D34:D36"/>
    <mergeCell ref="B29:B37"/>
    <mergeCell ref="D24:D26"/>
    <mergeCell ref="B4:F4"/>
    <mergeCell ref="B5:B6"/>
    <mergeCell ref="C5:C6"/>
    <mergeCell ref="D5:D6"/>
    <mergeCell ref="E5:F5"/>
    <mergeCell ref="E7:E8"/>
    <mergeCell ref="D7:D13"/>
    <mergeCell ref="C12:C13"/>
    <mergeCell ref="F9:F12"/>
    <mergeCell ref="F7:F8"/>
    <mergeCell ref="E9:E12"/>
    <mergeCell ref="B7:B13"/>
    <mergeCell ref="D15:D18"/>
    <mergeCell ref="B20:B26"/>
    <mergeCell ref="B15:B18"/>
    <mergeCell ref="C24:C26"/>
    <mergeCell ref="D20:D22"/>
    <mergeCell ref="C21:C22"/>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17BB5A86A31B42BC69A981492E628C" ma:contentTypeVersion="9" ma:contentTypeDescription="Create a new document." ma:contentTypeScope="" ma:versionID="495e1ffb7b1a093fed2bc6a29e7769b8">
  <xsd:schema xmlns:xsd="http://www.w3.org/2001/XMLSchema" xmlns:xs="http://www.w3.org/2001/XMLSchema" xmlns:p="http://schemas.microsoft.com/office/2006/metadata/properties" xmlns:ns2="6684ad74-a1f4-4b64-b73c-241d7408f38b" xmlns:ns3="6a0c811f-2d0f-4d53-8e7f-a9270438e092" targetNamespace="http://schemas.microsoft.com/office/2006/metadata/properties" ma:root="true" ma:fieldsID="7819040499836d75b5d58806c003e48b" ns2:_="" ns3:_="">
    <xsd:import namespace="6684ad74-a1f4-4b64-b73c-241d7408f38b"/>
    <xsd:import namespace="6a0c811f-2d0f-4d53-8e7f-a9270438e092"/>
    <xsd:element name="properties">
      <xsd:complexType>
        <xsd:sequence>
          <xsd:element name="documentManagement">
            <xsd:complexType>
              <xsd:all>
                <xsd:element ref="ns2:SharedWithUsers" minOccurs="0"/>
                <xsd:element ref="ns2:SharedWithDetails" minOccurs="0"/>
                <xsd:element ref="ns3:Dat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84ad74-a1f4-4b64-b73c-241d7408f38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0c811f-2d0f-4d53-8e7f-a9270438e092" elementFormDefault="qualified">
    <xsd:import namespace="http://schemas.microsoft.com/office/2006/documentManagement/types"/>
    <xsd:import namespace="http://schemas.microsoft.com/office/infopath/2007/PartnerControls"/>
    <xsd:element name="Date" ma:index="10" nillable="true" ma:displayName="Date" ma:format="DateOnly" ma:internalName="Date">
      <xsd:simpleType>
        <xsd:restriction base="dms:DateTime"/>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6a0c811f-2d0f-4d53-8e7f-a9270438e092" xsi:nil="true"/>
  </documentManagement>
</p:properties>
</file>

<file path=customXml/itemProps1.xml><?xml version="1.0" encoding="utf-8"?>
<ds:datastoreItem xmlns:ds="http://schemas.openxmlformats.org/officeDocument/2006/customXml" ds:itemID="{112447EA-51D1-4BD1-8AB6-DE8527563CA1}">
  <ds:schemaRefs>
    <ds:schemaRef ds:uri="http://schemas.microsoft.com/sharepoint/v3/contenttype/forms"/>
  </ds:schemaRefs>
</ds:datastoreItem>
</file>

<file path=customXml/itemProps2.xml><?xml version="1.0" encoding="utf-8"?>
<ds:datastoreItem xmlns:ds="http://schemas.openxmlformats.org/officeDocument/2006/customXml" ds:itemID="{710F0AEA-693E-45B5-B339-EB515962A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84ad74-a1f4-4b64-b73c-241d7408f38b"/>
    <ds:schemaRef ds:uri="6a0c811f-2d0f-4d53-8e7f-a9270438e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AA9267-7F13-4CD1-8E7A-B87906983134}">
  <ds:schemaRefs>
    <ds:schemaRef ds:uri="6684ad74-a1f4-4b64-b73c-241d7408f38b"/>
    <ds:schemaRef ds:uri="http://purl.org/dc/terms/"/>
    <ds:schemaRef ds:uri="http://purl.org/dc/elements/1.1/"/>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6a0c811f-2d0f-4d53-8e7f-a9270438e09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6</vt:i4>
      </vt:variant>
    </vt:vector>
  </HeadingPairs>
  <TitlesOfParts>
    <vt:vector size="32" baseType="lpstr">
      <vt:lpstr>Consl List</vt:lpstr>
      <vt:lpstr>Consl - Countries</vt:lpstr>
      <vt:lpstr>Global</vt:lpstr>
      <vt:lpstr>Consl  Budget</vt:lpstr>
      <vt:lpstr>List by Agency</vt:lpstr>
      <vt:lpstr>Outcome Budget lines and agency</vt:lpstr>
      <vt:lpstr>Consolidated budget</vt:lpstr>
      <vt:lpstr>2019 Comparison</vt:lpstr>
      <vt:lpstr>Colombia</vt:lpstr>
      <vt:lpstr>Cote d'Ivoire</vt:lpstr>
      <vt:lpstr>Indonesia</vt:lpstr>
      <vt:lpstr>Mexico</vt:lpstr>
      <vt:lpstr>Myanmar</vt:lpstr>
      <vt:lpstr>Peru</vt:lpstr>
      <vt:lpstr>Rep of Congo</vt:lpstr>
      <vt:lpstr>Viet Nam</vt:lpstr>
      <vt:lpstr>Zambia</vt:lpstr>
      <vt:lpstr>Landscapes Approach</vt:lpstr>
      <vt:lpstr>Financing &amp; Private Sector</vt:lpstr>
      <vt:lpstr>Tenure &amp; IP Rights</vt:lpstr>
      <vt:lpstr>NFMS</vt:lpstr>
      <vt:lpstr>Sheet1</vt:lpstr>
      <vt:lpstr>Sheet3</vt:lpstr>
      <vt:lpstr>Paris Agrmt &amp; SDGs</vt:lpstr>
      <vt:lpstr>REDD+ Funding Mechanism</vt:lpstr>
      <vt:lpstr>Cross cutting &amp; comms</vt:lpstr>
      <vt:lpstr>'Consl  Budget'!Print_Area</vt:lpstr>
      <vt:lpstr>'Consl - Countries'!Print_Area</vt:lpstr>
      <vt:lpstr>Global!Print_Area</vt:lpstr>
      <vt:lpstr>'Consl  Budget'!Print_Titles</vt:lpstr>
      <vt:lpstr>'Consl - Countries'!Print_Titles</vt:lpstr>
      <vt:lpstr>Global!Print_Titles</vt:lpstr>
    </vt:vector>
  </TitlesOfParts>
  <Company>UNDP</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undp</dc:creator>
  <cp:lastModifiedBy>Mihaela Secrieru</cp:lastModifiedBy>
  <cp:revision/>
  <dcterms:created xsi:type="dcterms:W3CDTF">2012-08-29T11:54:05Z</dcterms:created>
  <dcterms:modified xsi:type="dcterms:W3CDTF">2018-10-04T16:28:00Z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0x010100E917BB5A86A31B42BC69A981492E628C</vt:lpwstr>
  </property>
  <property fmtid="{D5CDD505-2E9C-101B-9397-08002B2CF9AE}" pid="3" name="SharedWithUsers">
    <vt:lpwstr>9;#UN-REDD</vt:lpwstr>
  </property>
</Properties>
</file>